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Anouar 2019\Hassoune Conseil\9-Dossiers en cours\WARA\6-Missions analytiques\SIFCA\SIFCA 2021\"/>
    </mc:Choice>
  </mc:AlternateContent>
  <xr:revisionPtr revIDLastSave="0" documentId="13_ncr:1_{67873CAB-9680-4580-A467-55335CD2AC5C}" xr6:coauthVersionLast="47" xr6:coauthVersionMax="47" xr10:uidLastSave="{00000000-0000-0000-0000-000000000000}"/>
  <bookViews>
    <workbookView xWindow="-120" yWindow="-120" windowWidth="20730" windowHeight="11160" tabRatio="750" firstSheet="2" activeTab="2" xr2:uid="{00000000-000D-0000-FFFF-FFFF00000000}"/>
  </bookViews>
  <sheets>
    <sheet name="Feuil1" sheetId="13" state="hidden" r:id="rId1"/>
    <sheet name="BP" sheetId="4" state="hidden" r:id="rId2"/>
    <sheet name="Synthèse données &amp; ratios" sheetId="6" r:id="rId3"/>
    <sheet name="Contribution 2016" sheetId="10" state="hidden" r:id="rId4"/>
    <sheet name="Contribution 2017" sheetId="11" state="hidden" r:id="rId5"/>
    <sheet name="Pays Secteur 2017" sheetId="12" state="hidden" r:id="rId6"/>
    <sheet name="Contrib filiales 2014-2017" sheetId="7" state="hidden" r:id="rId7"/>
  </sheets>
  <externalReferences>
    <externalReference r:id="rId8"/>
  </externalReferences>
  <definedNames>
    <definedName name="crossborder">[1]CBI!#REF!</definedName>
    <definedName name="global">[1]CBI!#REF!</definedName>
    <definedName name="moodynum">[1]CBI!#REF!</definedName>
    <definedName name="stats_1">[1]CBI!#REF!</definedName>
    <definedName name="stats_2">[1]CBI!#REF!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6" i="6" l="1"/>
  <c r="I62" i="6"/>
  <c r="I4" i="6"/>
  <c r="I5" i="6"/>
  <c r="I6" i="6"/>
  <c r="I7" i="6"/>
  <c r="I8" i="6"/>
  <c r="I10" i="6"/>
  <c r="I11" i="6"/>
  <c r="I12" i="6"/>
  <c r="I13" i="6"/>
  <c r="I14" i="6"/>
  <c r="I15" i="6"/>
  <c r="I18" i="6"/>
  <c r="I19" i="6"/>
  <c r="I20" i="6"/>
  <c r="I159" i="6"/>
  <c r="I158" i="6"/>
  <c r="I54" i="6"/>
  <c r="I55" i="6"/>
  <c r="I49" i="6"/>
  <c r="I57" i="6"/>
  <c r="I44" i="6"/>
  <c r="I45" i="6"/>
  <c r="I46" i="6"/>
  <c r="I149" i="6"/>
  <c r="I150" i="6"/>
  <c r="I34" i="6"/>
  <c r="I33" i="6"/>
  <c r="I32" i="6"/>
  <c r="I31" i="6"/>
  <c r="I30" i="6"/>
  <c r="I23" i="6"/>
  <c r="I24" i="6"/>
  <c r="I25" i="6"/>
  <c r="I26" i="6"/>
  <c r="I35" i="6"/>
  <c r="I144" i="6"/>
  <c r="I47" i="6"/>
  <c r="I48" i="6"/>
  <c r="I50" i="6"/>
  <c r="I51" i="6"/>
  <c r="I52" i="6"/>
  <c r="I143" i="6"/>
  <c r="I145" i="6"/>
  <c r="I142" i="6"/>
  <c r="I141" i="6"/>
  <c r="I76" i="6"/>
  <c r="H76" i="6"/>
  <c r="I81" i="6"/>
  <c r="H56" i="6"/>
  <c r="H57" i="6"/>
  <c r="H62" i="6"/>
  <c r="H49" i="6"/>
  <c r="H81" i="6"/>
  <c r="H4" i="6"/>
  <c r="H5" i="6"/>
  <c r="H6" i="6"/>
  <c r="H7" i="6"/>
  <c r="H8" i="6"/>
  <c r="H10" i="6"/>
  <c r="H11" i="6"/>
  <c r="H12" i="6"/>
  <c r="H13" i="6"/>
  <c r="H14" i="6"/>
  <c r="H15" i="6"/>
  <c r="H18" i="6"/>
  <c r="H19" i="6"/>
  <c r="H20" i="6"/>
  <c r="H159" i="6"/>
  <c r="I157" i="6"/>
  <c r="H54" i="6"/>
  <c r="H55" i="6"/>
  <c r="H157" i="6"/>
  <c r="AH3" i="7"/>
  <c r="AH5" i="7"/>
  <c r="AH7" i="7"/>
  <c r="H9" i="7"/>
  <c r="R18" i="11"/>
  <c r="Q18" i="11"/>
  <c r="O18" i="11"/>
  <c r="N18" i="11"/>
  <c r="N19" i="11"/>
  <c r="N16" i="11"/>
  <c r="N20" i="11"/>
  <c r="M18" i="11"/>
  <c r="M19" i="11"/>
  <c r="M16" i="11"/>
  <c r="M20" i="11"/>
  <c r="L18" i="11"/>
  <c r="K18" i="11"/>
  <c r="H18" i="11"/>
  <c r="H19" i="11"/>
  <c r="H16" i="11"/>
  <c r="H20" i="11"/>
  <c r="C18" i="11"/>
  <c r="B18" i="11"/>
  <c r="B19" i="11"/>
  <c r="R19" i="11"/>
  <c r="Q19" i="11"/>
  <c r="H29" i="7"/>
  <c r="O19" i="11"/>
  <c r="L19" i="11"/>
  <c r="K19" i="11"/>
  <c r="C19" i="11"/>
  <c r="I37" i="12"/>
  <c r="J37" i="12"/>
  <c r="R16" i="11"/>
  <c r="Q16" i="11"/>
  <c r="H27" i="7"/>
  <c r="O16" i="11"/>
  <c r="L16" i="11"/>
  <c r="K16" i="11"/>
  <c r="P16" i="11"/>
  <c r="C16" i="11"/>
  <c r="B16" i="11"/>
  <c r="H37" i="12"/>
  <c r="O15" i="11"/>
  <c r="R15" i="11"/>
  <c r="H11" i="7"/>
  <c r="Q15" i="11"/>
  <c r="N15" i="11"/>
  <c r="M15" i="11"/>
  <c r="L15" i="11"/>
  <c r="K15" i="11"/>
  <c r="H15" i="11"/>
  <c r="C15" i="11"/>
  <c r="B15" i="11"/>
  <c r="J15" i="11"/>
  <c r="P11" i="7"/>
  <c r="G37" i="12"/>
  <c r="R14" i="11"/>
  <c r="H10" i="7"/>
  <c r="Q14" i="11"/>
  <c r="O14" i="11"/>
  <c r="N14" i="11"/>
  <c r="M14" i="11"/>
  <c r="K14" i="11"/>
  <c r="L14" i="11"/>
  <c r="P14" i="11"/>
  <c r="L10" i="7"/>
  <c r="H14" i="11"/>
  <c r="C14" i="11"/>
  <c r="B14" i="11"/>
  <c r="J14" i="11"/>
  <c r="F37" i="12"/>
  <c r="H13" i="11"/>
  <c r="Q13" i="11"/>
  <c r="O13" i="11"/>
  <c r="N13" i="11"/>
  <c r="M13" i="11"/>
  <c r="L13" i="11"/>
  <c r="K13" i="11"/>
  <c r="C13" i="11"/>
  <c r="B13" i="11"/>
  <c r="E37" i="12"/>
  <c r="D37" i="12"/>
  <c r="R12" i="11"/>
  <c r="H8" i="7"/>
  <c r="Q12" i="11"/>
  <c r="H23" i="7"/>
  <c r="O12" i="11"/>
  <c r="N12" i="11"/>
  <c r="M12" i="11"/>
  <c r="L12" i="11"/>
  <c r="K12" i="11"/>
  <c r="H12" i="11"/>
  <c r="C12" i="11"/>
  <c r="B12" i="11"/>
  <c r="B20" i="11"/>
  <c r="H13" i="7"/>
  <c r="H21" i="7"/>
  <c r="H19" i="7"/>
  <c r="J9" i="11"/>
  <c r="P4" i="7"/>
  <c r="P9" i="11"/>
  <c r="L4" i="7"/>
  <c r="P7" i="11"/>
  <c r="L6" i="7"/>
  <c r="H6" i="7"/>
  <c r="H4" i="7"/>
  <c r="I7" i="12"/>
  <c r="I9" i="12"/>
  <c r="I13" i="12"/>
  <c r="I12" i="12"/>
  <c r="I11" i="12"/>
  <c r="I10" i="12"/>
  <c r="G16" i="12"/>
  <c r="D16" i="12"/>
  <c r="F16" i="12"/>
  <c r="E16" i="12"/>
  <c r="C16" i="12"/>
  <c r="C37" i="12"/>
  <c r="W9" i="11"/>
  <c r="J7" i="11"/>
  <c r="W7" i="11"/>
  <c r="L21" i="7"/>
  <c r="AE46" i="11"/>
  <c r="AD45" i="11"/>
  <c r="AE45" i="11"/>
  <c r="AD44" i="11"/>
  <c r="I20" i="11"/>
  <c r="J19" i="11"/>
  <c r="P14" i="7"/>
  <c r="AD36" i="11"/>
  <c r="J16" i="11"/>
  <c r="P12" i="7"/>
  <c r="AD35" i="11"/>
  <c r="P15" i="11"/>
  <c r="L11" i="7"/>
  <c r="AD34" i="11"/>
  <c r="P12" i="11"/>
  <c r="AD31" i="11"/>
  <c r="AD30" i="11"/>
  <c r="AE30" i="11"/>
  <c r="AD43" i="11"/>
  <c r="AD42" i="11"/>
  <c r="AD41" i="11"/>
  <c r="AE39" i="11"/>
  <c r="E5" i="6"/>
  <c r="E7" i="6"/>
  <c r="E10" i="6"/>
  <c r="E11" i="6"/>
  <c r="E12" i="6"/>
  <c r="E13" i="6"/>
  <c r="E14" i="6"/>
  <c r="E18" i="6"/>
  <c r="E19" i="6"/>
  <c r="E23" i="6"/>
  <c r="E24" i="6"/>
  <c r="E25" i="6"/>
  <c r="D5" i="6"/>
  <c r="D7" i="6"/>
  <c r="D10" i="6"/>
  <c r="D11" i="6"/>
  <c r="D12" i="6"/>
  <c r="C12" i="6"/>
  <c r="D92" i="6"/>
  <c r="D13" i="6"/>
  <c r="D14" i="6"/>
  <c r="D18" i="6"/>
  <c r="D19" i="6"/>
  <c r="D23" i="6"/>
  <c r="D24" i="6"/>
  <c r="D25" i="6"/>
  <c r="F5" i="6"/>
  <c r="F7" i="6"/>
  <c r="F88" i="6"/>
  <c r="F10" i="6"/>
  <c r="F11" i="6"/>
  <c r="F12" i="6"/>
  <c r="F13" i="6"/>
  <c r="F14" i="6"/>
  <c r="F18" i="6"/>
  <c r="F96" i="6"/>
  <c r="F19" i="6"/>
  <c r="F23" i="6"/>
  <c r="F24" i="6"/>
  <c r="F25" i="6"/>
  <c r="G25" i="6"/>
  <c r="G101" i="6"/>
  <c r="G5" i="6"/>
  <c r="G6" i="6"/>
  <c r="G7" i="6"/>
  <c r="G10" i="6"/>
  <c r="G11" i="6"/>
  <c r="G12" i="6"/>
  <c r="G13" i="6"/>
  <c r="G14" i="6"/>
  <c r="G24" i="6"/>
  <c r="G23" i="6"/>
  <c r="G19" i="6"/>
  <c r="G18" i="6"/>
  <c r="G4" i="6"/>
  <c r="G8" i="6"/>
  <c r="G146" i="6"/>
  <c r="H88" i="6"/>
  <c r="I92" i="6"/>
  <c r="H23" i="6"/>
  <c r="H24" i="6"/>
  <c r="I100" i="6"/>
  <c r="H25" i="6"/>
  <c r="I146" i="6"/>
  <c r="C4" i="6"/>
  <c r="C5" i="6"/>
  <c r="C7" i="6"/>
  <c r="C8" i="6"/>
  <c r="C10" i="6"/>
  <c r="C11" i="6"/>
  <c r="C13" i="6"/>
  <c r="D93" i="6"/>
  <c r="C14" i="6"/>
  <c r="C18" i="6"/>
  <c r="C19" i="6"/>
  <c r="C23" i="6"/>
  <c r="C24" i="6"/>
  <c r="C25" i="6"/>
  <c r="G51" i="6"/>
  <c r="F51" i="6"/>
  <c r="G123" i="6"/>
  <c r="G50" i="6"/>
  <c r="F50" i="6"/>
  <c r="H50" i="6"/>
  <c r="I122" i="6"/>
  <c r="L12" i="7"/>
  <c r="AE43" i="11"/>
  <c r="X7" i="11"/>
  <c r="P18" i="11"/>
  <c r="AE25" i="10"/>
  <c r="L7" i="10"/>
  <c r="AD20" i="10"/>
  <c r="AE18" i="10"/>
  <c r="AD12" i="10"/>
  <c r="AD14" i="10"/>
  <c r="AD15" i="10"/>
  <c r="AD16" i="10"/>
  <c r="N7" i="10"/>
  <c r="AD22" i="10"/>
  <c r="AD11" i="10"/>
  <c r="AD10" i="10"/>
  <c r="K29" i="7"/>
  <c r="K28" i="7"/>
  <c r="K27" i="7"/>
  <c r="K26" i="7"/>
  <c r="K25" i="7"/>
  <c r="K24" i="7"/>
  <c r="K23" i="7"/>
  <c r="K21" i="7"/>
  <c r="K19" i="7"/>
  <c r="W20" i="10"/>
  <c r="K30" i="7"/>
  <c r="K19" i="10"/>
  <c r="L19" i="10"/>
  <c r="N19" i="10"/>
  <c r="O19" i="10"/>
  <c r="O18" i="10"/>
  <c r="O16" i="10"/>
  <c r="O20" i="10"/>
  <c r="C19" i="10"/>
  <c r="B19" i="10"/>
  <c r="C18" i="10"/>
  <c r="H19" i="10"/>
  <c r="H18" i="10"/>
  <c r="K18" i="10"/>
  <c r="O15" i="10"/>
  <c r="C15" i="10"/>
  <c r="B15" i="10"/>
  <c r="H15" i="10"/>
  <c r="J15" i="10"/>
  <c r="O11" i="7"/>
  <c r="Q18" i="10"/>
  <c r="Q15" i="10"/>
  <c r="N18" i="10"/>
  <c r="N16" i="10"/>
  <c r="N20" i="10"/>
  <c r="N15" i="10"/>
  <c r="M18" i="10"/>
  <c r="M15" i="10"/>
  <c r="L18" i="10"/>
  <c r="L16" i="10"/>
  <c r="L20" i="10"/>
  <c r="L15" i="10"/>
  <c r="K15" i="10"/>
  <c r="P15" i="10"/>
  <c r="M16" i="10"/>
  <c r="L14" i="10"/>
  <c r="B18" i="10"/>
  <c r="W10" i="10"/>
  <c r="K20" i="7"/>
  <c r="W8" i="10"/>
  <c r="K22" i="7"/>
  <c r="C14" i="10"/>
  <c r="O7" i="10"/>
  <c r="AD24" i="10"/>
  <c r="AE24" i="10"/>
  <c r="O9" i="10"/>
  <c r="N9" i="10"/>
  <c r="H16" i="10"/>
  <c r="H14" i="10"/>
  <c r="B14" i="10"/>
  <c r="J14" i="10"/>
  <c r="O10" i="7"/>
  <c r="H13" i="10"/>
  <c r="H12" i="10"/>
  <c r="H9" i="10"/>
  <c r="H7" i="10"/>
  <c r="M13" i="10"/>
  <c r="M12" i="10"/>
  <c r="M9" i="10"/>
  <c r="M7" i="10"/>
  <c r="AD21" i="10"/>
  <c r="AE21" i="10"/>
  <c r="N12" i="10"/>
  <c r="N13" i="10"/>
  <c r="L13" i="10"/>
  <c r="P13" i="10"/>
  <c r="O29" i="7"/>
  <c r="O28" i="7"/>
  <c r="O27" i="7"/>
  <c r="O26" i="7"/>
  <c r="O23" i="7"/>
  <c r="O22" i="7"/>
  <c r="O21" i="7"/>
  <c r="O20" i="7"/>
  <c r="O19" i="7"/>
  <c r="G14" i="7"/>
  <c r="G13" i="7"/>
  <c r="G12" i="7"/>
  <c r="G11" i="7"/>
  <c r="G10" i="7"/>
  <c r="G9" i="7"/>
  <c r="G8" i="7"/>
  <c r="G6" i="7"/>
  <c r="G4" i="7"/>
  <c r="G21" i="7"/>
  <c r="G19" i="7"/>
  <c r="G29" i="7"/>
  <c r="G28" i="7"/>
  <c r="G27" i="7"/>
  <c r="G24" i="7"/>
  <c r="G23" i="7"/>
  <c r="R10" i="10"/>
  <c r="G5" i="7"/>
  <c r="Q10" i="10"/>
  <c r="G20" i="7"/>
  <c r="R8" i="10"/>
  <c r="G7" i="7"/>
  <c r="Q8" i="10"/>
  <c r="G22" i="7"/>
  <c r="N14" i="10"/>
  <c r="Q14" i="10"/>
  <c r="G25" i="7"/>
  <c r="Y20" i="10"/>
  <c r="O30" i="7"/>
  <c r="J12" i="10"/>
  <c r="J13" i="10"/>
  <c r="O9" i="7"/>
  <c r="J16" i="10"/>
  <c r="O12" i="7"/>
  <c r="J9" i="10"/>
  <c r="O4" i="7"/>
  <c r="O8" i="7"/>
  <c r="G30" i="7"/>
  <c r="G26" i="7"/>
  <c r="J10" i="10"/>
  <c r="O5" i="7"/>
  <c r="L12" i="10"/>
  <c r="L9" i="10"/>
  <c r="P7" i="10"/>
  <c r="O14" i="10"/>
  <c r="O12" i="10"/>
  <c r="K14" i="10"/>
  <c r="P14" i="10"/>
  <c r="F24" i="7"/>
  <c r="D20" i="10"/>
  <c r="B20" i="10"/>
  <c r="E20" i="10"/>
  <c r="F20" i="10"/>
  <c r="G20" i="10"/>
  <c r="I20" i="10"/>
  <c r="Q20" i="10"/>
  <c r="R20" i="10"/>
  <c r="F15" i="7"/>
  <c r="P8" i="10"/>
  <c r="F25" i="7"/>
  <c r="J10" i="7"/>
  <c r="N10" i="7"/>
  <c r="N25" i="7"/>
  <c r="I63" i="6"/>
  <c r="I61" i="6"/>
  <c r="I60" i="6"/>
  <c r="I59" i="6"/>
  <c r="I154" i="6"/>
  <c r="I58" i="6"/>
  <c r="I38" i="6"/>
  <c r="N9" i="7"/>
  <c r="J30" i="7"/>
  <c r="F30" i="7"/>
  <c r="N15" i="7"/>
  <c r="J15" i="7"/>
  <c r="N8" i="7"/>
  <c r="J23" i="7"/>
  <c r="J9" i="7"/>
  <c r="J8" i="7"/>
  <c r="N26" i="7"/>
  <c r="N27" i="7"/>
  <c r="N29" i="7"/>
  <c r="F22" i="7"/>
  <c r="F7" i="7"/>
  <c r="J20" i="7"/>
  <c r="F20" i="7"/>
  <c r="N5" i="7"/>
  <c r="F5" i="7"/>
  <c r="J5" i="7"/>
  <c r="N20" i="7"/>
  <c r="J21" i="7"/>
  <c r="J22" i="7"/>
  <c r="N6" i="7"/>
  <c r="N7" i="7"/>
  <c r="J6" i="7"/>
  <c r="J7" i="7"/>
  <c r="N24" i="7"/>
  <c r="H63" i="6"/>
  <c r="G63" i="6"/>
  <c r="F63" i="6"/>
  <c r="E63" i="6"/>
  <c r="D63" i="6"/>
  <c r="C63" i="6"/>
  <c r="G62" i="6"/>
  <c r="H133" i="6"/>
  <c r="F62" i="6"/>
  <c r="E62" i="6"/>
  <c r="F133" i="6"/>
  <c r="D62" i="6"/>
  <c r="C62" i="6"/>
  <c r="H61" i="6"/>
  <c r="G61" i="6"/>
  <c r="F61" i="6"/>
  <c r="E61" i="6"/>
  <c r="D61" i="6"/>
  <c r="E132" i="6"/>
  <c r="C61" i="6"/>
  <c r="H60" i="6"/>
  <c r="G60" i="6"/>
  <c r="F60" i="6"/>
  <c r="G131" i="6"/>
  <c r="E60" i="6"/>
  <c r="D60" i="6"/>
  <c r="C60" i="6"/>
  <c r="H59" i="6"/>
  <c r="G59" i="6"/>
  <c r="F59" i="6"/>
  <c r="E59" i="6"/>
  <c r="F130" i="6"/>
  <c r="D59" i="6"/>
  <c r="C59" i="6"/>
  <c r="D130" i="6"/>
  <c r="H58" i="6"/>
  <c r="G58" i="6"/>
  <c r="F58" i="6"/>
  <c r="E58" i="6"/>
  <c r="F129" i="6"/>
  <c r="D58" i="6"/>
  <c r="C58" i="6"/>
  <c r="I128" i="6"/>
  <c r="G57" i="6"/>
  <c r="F57" i="6"/>
  <c r="E57" i="6"/>
  <c r="D57" i="6"/>
  <c r="C57" i="6"/>
  <c r="D128" i="6"/>
  <c r="G56" i="6"/>
  <c r="F56" i="6"/>
  <c r="F54" i="6"/>
  <c r="F55" i="6"/>
  <c r="F64" i="6"/>
  <c r="E54" i="6"/>
  <c r="E55" i="6"/>
  <c r="E56" i="6"/>
  <c r="E64" i="6"/>
  <c r="F135" i="6"/>
  <c r="D56" i="6"/>
  <c r="C56" i="6"/>
  <c r="H51" i="6"/>
  <c r="I123" i="6"/>
  <c r="E51" i="6"/>
  <c r="D51" i="6"/>
  <c r="C51" i="6"/>
  <c r="D123" i="6"/>
  <c r="E50" i="6"/>
  <c r="D50" i="6"/>
  <c r="C50" i="6"/>
  <c r="D122" i="6"/>
  <c r="H46" i="6"/>
  <c r="G46" i="6"/>
  <c r="H118" i="6"/>
  <c r="D44" i="6"/>
  <c r="H38" i="6"/>
  <c r="G38" i="6"/>
  <c r="F38" i="6"/>
  <c r="E38" i="6"/>
  <c r="D38" i="6"/>
  <c r="C38" i="6"/>
  <c r="D110" i="6"/>
  <c r="H34" i="6"/>
  <c r="G34" i="6"/>
  <c r="F34" i="6"/>
  <c r="E34" i="6"/>
  <c r="D34" i="6"/>
  <c r="E108" i="6"/>
  <c r="C34" i="6"/>
  <c r="H33" i="6"/>
  <c r="G33" i="6"/>
  <c r="F33" i="6"/>
  <c r="E33" i="6"/>
  <c r="D33" i="6"/>
  <c r="C33" i="6"/>
  <c r="D107" i="6"/>
  <c r="C32" i="6"/>
  <c r="D90" i="6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L18" i="4"/>
  <c r="K18" i="4"/>
  <c r="J18" i="4"/>
  <c r="I18" i="4"/>
  <c r="H18" i="4"/>
  <c r="G18" i="4"/>
  <c r="F18" i="4"/>
  <c r="E18" i="4"/>
  <c r="D18" i="4"/>
  <c r="C18" i="4"/>
  <c r="L13" i="4"/>
  <c r="K13" i="4"/>
  <c r="J13" i="4"/>
  <c r="I13" i="4"/>
  <c r="H13" i="4"/>
  <c r="G13" i="4"/>
  <c r="F13" i="4"/>
  <c r="E13" i="4"/>
  <c r="D13" i="4"/>
  <c r="C13" i="4"/>
  <c r="L8" i="4"/>
  <c r="K8" i="4"/>
  <c r="J8" i="4"/>
  <c r="I8" i="4"/>
  <c r="H8" i="4"/>
  <c r="G8" i="4"/>
  <c r="F8" i="4"/>
  <c r="E8" i="4"/>
  <c r="D8" i="4"/>
  <c r="C8" i="4"/>
  <c r="H32" i="6"/>
  <c r="F32" i="6"/>
  <c r="E32" i="6"/>
  <c r="F106" i="6"/>
  <c r="D32" i="6"/>
  <c r="F31" i="6"/>
  <c r="E31" i="6"/>
  <c r="F105" i="6"/>
  <c r="D31" i="6"/>
  <c r="E105" i="6"/>
  <c r="C31" i="6"/>
  <c r="D105" i="6"/>
  <c r="F4" i="6"/>
  <c r="E4" i="6"/>
  <c r="D4" i="6"/>
  <c r="E157" i="6"/>
  <c r="G54" i="6"/>
  <c r="H125" i="6"/>
  <c r="F125" i="6"/>
  <c r="D54" i="6"/>
  <c r="C54" i="6"/>
  <c r="F49" i="6"/>
  <c r="F81" i="6"/>
  <c r="E49" i="6"/>
  <c r="C81" i="6"/>
  <c r="G48" i="6"/>
  <c r="F48" i="6"/>
  <c r="C48" i="6"/>
  <c r="C153" i="6"/>
  <c r="H47" i="6"/>
  <c r="G47" i="6"/>
  <c r="F47" i="6"/>
  <c r="G119" i="6"/>
  <c r="E47" i="6"/>
  <c r="D47" i="6"/>
  <c r="C47" i="6"/>
  <c r="C152" i="6"/>
  <c r="F46" i="6"/>
  <c r="G118" i="6"/>
  <c r="D46" i="6"/>
  <c r="C46" i="6"/>
  <c r="D118" i="6"/>
  <c r="H45" i="6"/>
  <c r="G45" i="6"/>
  <c r="H117" i="6"/>
  <c r="F45" i="6"/>
  <c r="E45" i="6"/>
  <c r="D45" i="6"/>
  <c r="E117" i="6"/>
  <c r="H44" i="6"/>
  <c r="G44" i="6"/>
  <c r="F44" i="6"/>
  <c r="E44" i="6"/>
  <c r="C44" i="6"/>
  <c r="H87" i="6"/>
  <c r="I87" i="6"/>
  <c r="D88" i="6"/>
  <c r="F90" i="6"/>
  <c r="H91" i="6"/>
  <c r="I91" i="6"/>
  <c r="H93" i="6"/>
  <c r="H96" i="6"/>
  <c r="I96" i="6"/>
  <c r="D99" i="6"/>
  <c r="H99" i="6"/>
  <c r="I99" i="6"/>
  <c r="D101" i="6"/>
  <c r="H101" i="6"/>
  <c r="I101" i="6"/>
  <c r="I127" i="6"/>
  <c r="H129" i="6"/>
  <c r="I129" i="6"/>
  <c r="H131" i="6"/>
  <c r="I131" i="6"/>
  <c r="D133" i="6"/>
  <c r="I133" i="6"/>
  <c r="I119" i="6"/>
  <c r="H108" i="6"/>
  <c r="I108" i="6"/>
  <c r="I116" i="6"/>
  <c r="G92" i="6"/>
  <c r="H110" i="6"/>
  <c r="I110" i="6"/>
  <c r="I106" i="6"/>
  <c r="I90" i="6"/>
  <c r="H100" i="6"/>
  <c r="F123" i="6"/>
  <c r="H132" i="6"/>
  <c r="I132" i="6"/>
  <c r="D87" i="6"/>
  <c r="D91" i="6"/>
  <c r="G93" i="6"/>
  <c r="D96" i="6"/>
  <c r="D100" i="6"/>
  <c r="F110" i="6"/>
  <c r="G100" i="6"/>
  <c r="E101" i="6"/>
  <c r="G128" i="6"/>
  <c r="E129" i="6"/>
  <c r="G130" i="6"/>
  <c r="E131" i="6"/>
  <c r="E133" i="6"/>
  <c r="F132" i="6"/>
  <c r="F99" i="6"/>
  <c r="D134" i="6"/>
  <c r="G129" i="6"/>
  <c r="D127" i="6"/>
  <c r="F131" i="6"/>
  <c r="G96" i="6"/>
  <c r="E87" i="6"/>
  <c r="E88" i="6"/>
  <c r="F92" i="6"/>
  <c r="F97" i="6"/>
  <c r="F100" i="6"/>
  <c r="E127" i="6"/>
  <c r="F128" i="6"/>
  <c r="D129" i="6"/>
  <c r="D131" i="6"/>
  <c r="G132" i="6"/>
  <c r="F134" i="6"/>
  <c r="E46" i="6"/>
  <c r="E118" i="6"/>
  <c r="E107" i="6"/>
  <c r="G108" i="6"/>
  <c r="F116" i="6"/>
  <c r="C49" i="6"/>
  <c r="G81" i="6"/>
  <c r="G49" i="6"/>
  <c r="G121" i="6"/>
  <c r="D48" i="6"/>
  <c r="D120" i="6"/>
  <c r="H48" i="6"/>
  <c r="D125" i="6"/>
  <c r="I125" i="6"/>
  <c r="F157" i="6"/>
  <c r="G154" i="6"/>
  <c r="C30" i="6"/>
  <c r="G31" i="6"/>
  <c r="G105" i="6"/>
  <c r="C151" i="6"/>
  <c r="G151" i="6"/>
  <c r="E125" i="6"/>
  <c r="C55" i="6"/>
  <c r="C64" i="6"/>
  <c r="C157" i="6"/>
  <c r="G55" i="6"/>
  <c r="G126" i="6"/>
  <c r="H152" i="6"/>
  <c r="E91" i="6"/>
  <c r="E93" i="6"/>
  <c r="F122" i="6"/>
  <c r="E122" i="6"/>
  <c r="G152" i="6"/>
  <c r="D49" i="6"/>
  <c r="D121" i="6"/>
  <c r="D81" i="6"/>
  <c r="E110" i="6"/>
  <c r="D116" i="6"/>
  <c r="E154" i="6"/>
  <c r="E119" i="6"/>
  <c r="E151" i="6"/>
  <c r="E81" i="6"/>
  <c r="G125" i="6"/>
  <c r="E106" i="6"/>
  <c r="F87" i="6"/>
  <c r="F107" i="6"/>
  <c r="D108" i="6"/>
  <c r="H151" i="6"/>
  <c r="G87" i="6"/>
  <c r="F91" i="6"/>
  <c r="F93" i="6"/>
  <c r="E96" i="6"/>
  <c r="G97" i="6"/>
  <c r="D154" i="6"/>
  <c r="E90" i="6"/>
  <c r="G91" i="6"/>
  <c r="E99" i="6"/>
  <c r="G133" i="6"/>
  <c r="G99" i="6"/>
  <c r="E100" i="6"/>
  <c r="G110" i="6"/>
  <c r="H120" i="6"/>
  <c r="H126" i="6"/>
  <c r="D86" i="6"/>
  <c r="C154" i="6"/>
  <c r="F149" i="6"/>
  <c r="D153" i="6"/>
  <c r="E149" i="6"/>
  <c r="H64" i="6"/>
  <c r="C146" i="6"/>
  <c r="C45" i="6"/>
  <c r="C52" i="6"/>
  <c r="E121" i="6"/>
  <c r="F121" i="6"/>
  <c r="H31" i="6"/>
  <c r="G64" i="6"/>
  <c r="H135" i="6"/>
  <c r="F119" i="6"/>
  <c r="F152" i="6"/>
  <c r="D151" i="6"/>
  <c r="D152" i="6"/>
  <c r="F8" i="6"/>
  <c r="F86" i="6"/>
  <c r="G86" i="6"/>
  <c r="D30" i="6"/>
  <c r="D104" i="6"/>
  <c r="K10" i="7"/>
  <c r="X14" i="10"/>
  <c r="K6" i="7"/>
  <c r="G122" i="6"/>
  <c r="H122" i="6"/>
  <c r="H90" i="6"/>
  <c r="G90" i="6"/>
  <c r="F146" i="6"/>
  <c r="G135" i="6"/>
  <c r="G52" i="6"/>
  <c r="E92" i="6"/>
  <c r="D119" i="6"/>
  <c r="F101" i="6"/>
  <c r="E116" i="6"/>
  <c r="H116" i="6"/>
  <c r="F52" i="6"/>
  <c r="F117" i="6"/>
  <c r="G120" i="6"/>
  <c r="G153" i="6"/>
  <c r="H121" i="6"/>
  <c r="F126" i="6"/>
  <c r="D106" i="6"/>
  <c r="G32" i="6"/>
  <c r="H107" i="6"/>
  <c r="G107" i="6"/>
  <c r="D55" i="6"/>
  <c r="D126" i="6"/>
  <c r="H130" i="6"/>
  <c r="H154" i="6"/>
  <c r="H30" i="6"/>
  <c r="G30" i="6"/>
  <c r="H104" i="6"/>
  <c r="N22" i="7"/>
  <c r="N23" i="7"/>
  <c r="I153" i="6"/>
  <c r="I120" i="6"/>
  <c r="I64" i="6"/>
  <c r="I135" i="6"/>
  <c r="I126" i="6"/>
  <c r="K7" i="7"/>
  <c r="N30" i="7"/>
  <c r="X13" i="10"/>
  <c r="Y13" i="10"/>
  <c r="K9" i="7"/>
  <c r="X15" i="10"/>
  <c r="K11" i="7"/>
  <c r="H20" i="10"/>
  <c r="J18" i="10"/>
  <c r="J19" i="10"/>
  <c r="O14" i="7"/>
  <c r="C20" i="10"/>
  <c r="K20" i="10"/>
  <c r="P19" i="10"/>
  <c r="AE10" i="10"/>
  <c r="P19" i="11"/>
  <c r="P20" i="11"/>
  <c r="L15" i="7"/>
  <c r="L13" i="7"/>
  <c r="I97" i="6"/>
  <c r="AD47" i="11"/>
  <c r="AF45" i="11"/>
  <c r="X9" i="11"/>
  <c r="L19" i="7"/>
  <c r="H16" i="12"/>
  <c r="E14" i="12"/>
  <c r="I14" i="12"/>
  <c r="H12" i="12"/>
  <c r="H24" i="7"/>
  <c r="P10" i="7"/>
  <c r="W14" i="11"/>
  <c r="L25" i="7"/>
  <c r="H14" i="7"/>
  <c r="E130" i="6"/>
  <c r="E30" i="6"/>
  <c r="F150" i="6"/>
  <c r="F127" i="6"/>
  <c r="D132" i="6"/>
  <c r="F108" i="6"/>
  <c r="I130" i="6"/>
  <c r="H97" i="6"/>
  <c r="I107" i="6"/>
  <c r="I93" i="6"/>
  <c r="D117" i="6"/>
  <c r="H119" i="6"/>
  <c r="F154" i="6"/>
  <c r="F151" i="6"/>
  <c r="C149" i="6"/>
  <c r="G157" i="6"/>
  <c r="E128" i="6"/>
  <c r="E48" i="6"/>
  <c r="F118" i="6"/>
  <c r="E97" i="6"/>
  <c r="H128" i="6"/>
  <c r="H92" i="6"/>
  <c r="G117" i="6"/>
  <c r="F153" i="6"/>
  <c r="E8" i="6"/>
  <c r="E86" i="6"/>
  <c r="D97" i="6"/>
  <c r="D52" i="6"/>
  <c r="I118" i="6"/>
  <c r="I86" i="6"/>
  <c r="L8" i="7"/>
  <c r="J12" i="11"/>
  <c r="W12" i="11"/>
  <c r="L23" i="7"/>
  <c r="P8" i="7"/>
  <c r="P23" i="7"/>
  <c r="J7" i="10"/>
  <c r="AD23" i="10"/>
  <c r="AE22" i="10"/>
  <c r="P16" i="10"/>
  <c r="M20" i="10"/>
  <c r="AE42" i="11"/>
  <c r="G116" i="6"/>
  <c r="E150" i="6"/>
  <c r="D8" i="6"/>
  <c r="D142" i="6"/>
  <c r="E123" i="6"/>
  <c r="H127" i="6"/>
  <c r="G127" i="6"/>
  <c r="E134" i="6"/>
  <c r="I117" i="6"/>
  <c r="I151" i="6"/>
  <c r="I152" i="6"/>
  <c r="P18" i="10"/>
  <c r="C15" i="6"/>
  <c r="E152" i="6"/>
  <c r="Q20" i="11"/>
  <c r="H30" i="7"/>
  <c r="H28" i="7"/>
  <c r="H26" i="7"/>
  <c r="W15" i="11"/>
  <c r="L26" i="7"/>
  <c r="P26" i="7"/>
  <c r="L14" i="7"/>
  <c r="K20" i="11"/>
  <c r="O20" i="11"/>
  <c r="G15" i="6"/>
  <c r="P12" i="10"/>
  <c r="G15" i="7"/>
  <c r="AF39" i="11"/>
  <c r="AE47" i="11"/>
  <c r="H4" i="12"/>
  <c r="J13" i="11"/>
  <c r="P9" i="7"/>
  <c r="H12" i="7"/>
  <c r="W16" i="11"/>
  <c r="L27" i="7"/>
  <c r="P9" i="10"/>
  <c r="D14" i="12"/>
  <c r="H25" i="7"/>
  <c r="C20" i="11"/>
  <c r="J18" i="11"/>
  <c r="I88" i="6"/>
  <c r="P6" i="7"/>
  <c r="P13" i="11"/>
  <c r="L20" i="11"/>
  <c r="R20" i="11"/>
  <c r="H15" i="7"/>
  <c r="I104" i="6"/>
  <c r="C150" i="6"/>
  <c r="AD26" i="10"/>
  <c r="AF22" i="10"/>
  <c r="K4" i="7"/>
  <c r="P10" i="10"/>
  <c r="X9" i="10"/>
  <c r="K8" i="7"/>
  <c r="X12" i="10"/>
  <c r="G20" i="6"/>
  <c r="G16" i="6"/>
  <c r="E120" i="6"/>
  <c r="E153" i="6"/>
  <c r="I16" i="6"/>
  <c r="G106" i="6"/>
  <c r="H106" i="6"/>
  <c r="C143" i="6"/>
  <c r="C142" i="6"/>
  <c r="P13" i="7"/>
  <c r="J20" i="11"/>
  <c r="P15" i="7"/>
  <c r="W18" i="11"/>
  <c r="X18" i="11"/>
  <c r="H13" i="12"/>
  <c r="H10" i="12"/>
  <c r="H11" i="12"/>
  <c r="H8" i="12"/>
  <c r="X15" i="11"/>
  <c r="C20" i="6"/>
  <c r="C16" i="6"/>
  <c r="D15" i="6"/>
  <c r="D89" i="6"/>
  <c r="O6" i="7"/>
  <c r="J8" i="10"/>
  <c r="F120" i="6"/>
  <c r="F30" i="6"/>
  <c r="K14" i="7"/>
  <c r="X19" i="10"/>
  <c r="O13" i="7"/>
  <c r="J20" i="10"/>
  <c r="O15" i="7"/>
  <c r="E126" i="6"/>
  <c r="D146" i="6"/>
  <c r="F15" i="6"/>
  <c r="F89" i="6"/>
  <c r="G89" i="6"/>
  <c r="H105" i="6"/>
  <c r="P27" i="7"/>
  <c r="H14" i="12"/>
  <c r="F14" i="12"/>
  <c r="G14" i="12"/>
  <c r="L28" i="7"/>
  <c r="P28" i="7"/>
  <c r="K13" i="7"/>
  <c r="X18" i="10"/>
  <c r="P20" i="10"/>
  <c r="K15" i="7"/>
  <c r="AF46" i="11"/>
  <c r="AF30" i="11"/>
  <c r="E15" i="6"/>
  <c r="E146" i="6"/>
  <c r="E89" i="6"/>
  <c r="H149" i="6"/>
  <c r="G149" i="6"/>
  <c r="G150" i="6"/>
  <c r="P25" i="7"/>
  <c r="P19" i="7"/>
  <c r="Y14" i="10"/>
  <c r="O25" i="7"/>
  <c r="O24" i="7"/>
  <c r="G142" i="6"/>
  <c r="G124" i="6"/>
  <c r="G143" i="6"/>
  <c r="D157" i="6"/>
  <c r="H52" i="6"/>
  <c r="L9" i="7"/>
  <c r="W13" i="11"/>
  <c r="P21" i="7"/>
  <c r="P7" i="7"/>
  <c r="X14" i="11"/>
  <c r="AF43" i="11"/>
  <c r="X16" i="11"/>
  <c r="C14" i="12"/>
  <c r="H86" i="6"/>
  <c r="H153" i="6"/>
  <c r="D150" i="6"/>
  <c r="D149" i="6"/>
  <c r="AF42" i="11"/>
  <c r="X16" i="10"/>
  <c r="K12" i="7"/>
  <c r="X12" i="11"/>
  <c r="D143" i="6"/>
  <c r="D124" i="6"/>
  <c r="G104" i="6"/>
  <c r="I121" i="6"/>
  <c r="E104" i="6"/>
  <c r="W19" i="11"/>
  <c r="AE26" i="10"/>
  <c r="AF10" i="10"/>
  <c r="F143" i="6"/>
  <c r="F142" i="6"/>
  <c r="X7" i="10"/>
  <c r="D64" i="6"/>
  <c r="E52" i="6"/>
  <c r="E143" i="6"/>
  <c r="E124" i="6"/>
  <c r="E142" i="6"/>
  <c r="F124" i="6"/>
  <c r="H89" i="6"/>
  <c r="H146" i="6"/>
  <c r="I89" i="6"/>
  <c r="H143" i="6"/>
  <c r="H124" i="6"/>
  <c r="H20" i="7"/>
  <c r="H5" i="7"/>
  <c r="L5" i="7"/>
  <c r="P5" i="7"/>
  <c r="E20" i="6"/>
  <c r="E95" i="6"/>
  <c r="E16" i="6"/>
  <c r="I21" i="6"/>
  <c r="G26" i="6"/>
  <c r="G158" i="6"/>
  <c r="G159" i="6"/>
  <c r="G21" i="6"/>
  <c r="K5" i="7"/>
  <c r="X10" i="10"/>
  <c r="D135" i="6"/>
  <c r="E135" i="6"/>
  <c r="L29" i="7"/>
  <c r="P29" i="7"/>
  <c r="W20" i="11"/>
  <c r="L30" i="7"/>
  <c r="P30" i="7"/>
  <c r="X19" i="11"/>
  <c r="X20" i="11"/>
  <c r="I124" i="6"/>
  <c r="L24" i="7"/>
  <c r="P24" i="7"/>
  <c r="X13" i="11"/>
  <c r="L20" i="7"/>
  <c r="P20" i="7"/>
  <c r="D20" i="6"/>
  <c r="D95" i="6"/>
  <c r="D16" i="6"/>
  <c r="C21" i="6"/>
  <c r="C26" i="6"/>
  <c r="C159" i="6"/>
  <c r="C158" i="6"/>
  <c r="I105" i="6"/>
  <c r="H142" i="6"/>
  <c r="AF47" i="11"/>
  <c r="F20" i="6"/>
  <c r="F95" i="6"/>
  <c r="F16" i="6"/>
  <c r="F104" i="6"/>
  <c r="O7" i="7"/>
  <c r="X8" i="10"/>
  <c r="H7" i="7"/>
  <c r="L22" i="7"/>
  <c r="L7" i="7"/>
  <c r="H22" i="7"/>
  <c r="H150" i="6"/>
  <c r="X20" i="10"/>
  <c r="AF25" i="10"/>
  <c r="AF24" i="10"/>
  <c r="AF18" i="10"/>
  <c r="AF21" i="10"/>
  <c r="AF26" i="10"/>
  <c r="G95" i="6"/>
  <c r="Y9" i="11"/>
  <c r="I39" i="6"/>
  <c r="I36" i="6"/>
  <c r="I27" i="6"/>
  <c r="R10" i="11"/>
  <c r="Q10" i="11"/>
  <c r="P10" i="11"/>
  <c r="J10" i="11"/>
  <c r="W10" i="11"/>
  <c r="P22" i="7"/>
  <c r="F26" i="6"/>
  <c r="F21" i="6"/>
  <c r="F158" i="6"/>
  <c r="F159" i="6"/>
  <c r="F98" i="6"/>
  <c r="C27" i="6"/>
  <c r="C35" i="6"/>
  <c r="D26" i="6"/>
  <c r="D98" i="6"/>
  <c r="D159" i="6"/>
  <c r="D21" i="6"/>
  <c r="D158" i="6"/>
  <c r="G98" i="6"/>
  <c r="H16" i="6"/>
  <c r="H95" i="6"/>
  <c r="I95" i="6"/>
  <c r="G27" i="6"/>
  <c r="G102" i="6"/>
  <c r="G35" i="6"/>
  <c r="E26" i="6"/>
  <c r="E21" i="6"/>
  <c r="E98" i="6"/>
  <c r="E159" i="6"/>
  <c r="E158" i="6"/>
  <c r="C144" i="6"/>
  <c r="C141" i="6"/>
  <c r="C36" i="6"/>
  <c r="C39" i="6"/>
  <c r="C145" i="6"/>
  <c r="G145" i="6"/>
  <c r="G141" i="6"/>
  <c r="G144" i="6"/>
  <c r="G39" i="6"/>
  <c r="G36" i="6"/>
  <c r="F35" i="6"/>
  <c r="G109" i="6"/>
  <c r="H26" i="6"/>
  <c r="H98" i="6"/>
  <c r="H21" i="6"/>
  <c r="H158" i="6"/>
  <c r="I98" i="6"/>
  <c r="E27" i="6"/>
  <c r="E102" i="6"/>
  <c r="E35" i="6"/>
  <c r="F27" i="6"/>
  <c r="F103" i="6"/>
  <c r="F102" i="6"/>
  <c r="X10" i="11"/>
  <c r="D102" i="6"/>
  <c r="D27" i="6"/>
  <c r="D103" i="6"/>
  <c r="D35" i="6"/>
  <c r="E36" i="6"/>
  <c r="E109" i="6"/>
  <c r="E145" i="6"/>
  <c r="E39" i="6"/>
  <c r="E141" i="6"/>
  <c r="E144" i="6"/>
  <c r="D145" i="6"/>
  <c r="D36" i="6"/>
  <c r="D39" i="6"/>
  <c r="D111" i="6"/>
  <c r="D144" i="6"/>
  <c r="D109" i="6"/>
  <c r="D141" i="6"/>
  <c r="G103" i="6"/>
  <c r="F144" i="6"/>
  <c r="F145" i="6"/>
  <c r="F39" i="6"/>
  <c r="F111" i="6"/>
  <c r="F109" i="6"/>
  <c r="F141" i="6"/>
  <c r="F36" i="6"/>
  <c r="H27" i="6"/>
  <c r="H102" i="6"/>
  <c r="H35" i="6"/>
  <c r="I102" i="6"/>
  <c r="G111" i="6"/>
  <c r="E103" i="6"/>
  <c r="Y7" i="11"/>
  <c r="H141" i="6"/>
  <c r="H36" i="6"/>
  <c r="H109" i="6"/>
  <c r="H145" i="6"/>
  <c r="H144" i="6"/>
  <c r="H39" i="6"/>
  <c r="I109" i="6"/>
  <c r="R8" i="11"/>
  <c r="P8" i="11"/>
  <c r="W8" i="11"/>
  <c r="Q8" i="11"/>
  <c r="J8" i="11"/>
  <c r="H103" i="6"/>
  <c r="I103" i="6"/>
  <c r="E111" i="6"/>
  <c r="H111" i="6"/>
  <c r="I111" i="6"/>
  <c r="X8" i="11"/>
</calcChain>
</file>

<file path=xl/sharedStrings.xml><?xml version="1.0" encoding="utf-8"?>
<sst xmlns="http://schemas.openxmlformats.org/spreadsheetml/2006/main" count="540" uniqueCount="206">
  <si>
    <t>Réel</t>
  </si>
  <si>
    <t>Immobilisations incorporelles</t>
  </si>
  <si>
    <t>Immobilisations corporelles</t>
  </si>
  <si>
    <t>Immobilisations financières</t>
  </si>
  <si>
    <t>Stocks</t>
  </si>
  <si>
    <t>Créances et emplois assimilés</t>
  </si>
  <si>
    <t>Charges constatées d'avance</t>
  </si>
  <si>
    <t>Ecart de conversion et autres</t>
  </si>
  <si>
    <t>TOTAL ACTIF</t>
  </si>
  <si>
    <t>Part du groupe dans les capitaux propres et le résultat</t>
  </si>
  <si>
    <t>Part des minoritaires dans les capitaux propres et le résultat</t>
  </si>
  <si>
    <t>Crédits à moyen et long terme</t>
  </si>
  <si>
    <t>Avances et acomptes reçus sur commandes</t>
  </si>
  <si>
    <t>Dettes fournisseurs et comptes rattachés</t>
  </si>
  <si>
    <t>Dettes fiscales</t>
  </si>
  <si>
    <t>Autres dettes d'exploitation</t>
  </si>
  <si>
    <t>Produits constatés d'avance, éliminations et écart de conversion</t>
  </si>
  <si>
    <t>TOTAL PASSIF</t>
  </si>
  <si>
    <t>Autres produits</t>
  </si>
  <si>
    <t>Production immobilisée</t>
  </si>
  <si>
    <t>Achats de marchandises</t>
  </si>
  <si>
    <t>Achats de matières premières et autres approvisionnements</t>
  </si>
  <si>
    <t>Services extérieurs</t>
  </si>
  <si>
    <t>Autres charges de gestion courante</t>
  </si>
  <si>
    <t>Opérations d'exploitation intra-groupe</t>
  </si>
  <si>
    <t>Charges de personnel</t>
  </si>
  <si>
    <t>Transferts de charges</t>
  </si>
  <si>
    <t>RESULTAT D'EXPLOITATION</t>
  </si>
  <si>
    <t>Résultat financier</t>
  </si>
  <si>
    <t>Q-P de résultat des mises en équivalence</t>
  </si>
  <si>
    <t>RESULTAT NET CONSOLIDE</t>
  </si>
  <si>
    <t>Part des minoritaires</t>
  </si>
  <si>
    <t>PART DU GROUPE DANS LE RESULTAT</t>
  </si>
  <si>
    <t>SUCRIVOIRE</t>
  </si>
  <si>
    <t>RESULTAT NET (RN)</t>
  </si>
  <si>
    <t>Trésorerie - Passif</t>
  </si>
  <si>
    <t>BP</t>
  </si>
  <si>
    <t>PALMCI (millions de FCFA)</t>
  </si>
  <si>
    <t>Chiffre d'affaires (CA)</t>
  </si>
  <si>
    <t>RESULTAT OPERATIONNEL</t>
  </si>
  <si>
    <t>% CA</t>
  </si>
  <si>
    <t>SANIA (mllions de FCFA)</t>
  </si>
  <si>
    <t>SUCRIVOIRE (millions de FCFA)</t>
  </si>
  <si>
    <t>SIPH (milliers d'€) = QUID IMPORTANTS PROD FINANCIERS</t>
  </si>
  <si>
    <t>SAPH (milliers d'€)</t>
  </si>
  <si>
    <t>RESULTAT COURANT AVANT IMPOT</t>
  </si>
  <si>
    <t>Caoutchouc naturel</t>
  </si>
  <si>
    <t>Production stockée (ou déstockage)</t>
  </si>
  <si>
    <t>PRODUITS D'EXPLOITATION</t>
  </si>
  <si>
    <t>VALEUR AJOUTEE</t>
  </si>
  <si>
    <t>Impôts et taxes</t>
  </si>
  <si>
    <t>EXCEDENT BRUT D'EXPLOITATION (EBE)</t>
  </si>
  <si>
    <t>Dotations aux amortissements et aux provisions</t>
  </si>
  <si>
    <t>Reprises de provisions</t>
  </si>
  <si>
    <t>Résultat hors activités ordinaires (H.A.O)</t>
  </si>
  <si>
    <t>Impôt sur le résultat</t>
  </si>
  <si>
    <t>Dotations/reprises sur amortissements sur écarts d'acquisitions</t>
  </si>
  <si>
    <t>BILAN (en millions de FCFA)</t>
  </si>
  <si>
    <t>Trésorerie - Actif</t>
  </si>
  <si>
    <t>Autres dettes financières et ressources assimilées</t>
  </si>
  <si>
    <t>INFORMATIONS COMPLEMENTAIRES (en millions de FCFA)</t>
  </si>
  <si>
    <t>Capacité d'autofinancement (CAF)</t>
  </si>
  <si>
    <t>Variation de BFR</t>
  </si>
  <si>
    <t>TAUX DE CROISSANCE - COMPTE DE RESULTAT (en %)</t>
  </si>
  <si>
    <t>TAUX DE CROISSANCE - BILAN (en %)</t>
  </si>
  <si>
    <t>Autres dettes financières er ressources assimilées</t>
  </si>
  <si>
    <t>RATIOS</t>
  </si>
  <si>
    <t>Rentabilité</t>
  </si>
  <si>
    <t>Marge de profit (RN/CA) en %</t>
  </si>
  <si>
    <t>Rotation des actifs (CA/TA) en %</t>
  </si>
  <si>
    <t>Levier financier (TA/FP) en %</t>
  </si>
  <si>
    <t>Retour sur fonds propres (RN/FP) en %</t>
  </si>
  <si>
    <t>ROA (RN/TA) en %</t>
  </si>
  <si>
    <t>Charges d'exploitation/Produits d'exploitation en %</t>
  </si>
  <si>
    <t>Liquidité</t>
  </si>
  <si>
    <t>Ratio de liquidité générale (AC/PC) en %</t>
  </si>
  <si>
    <t>Ratio de liquidité de l'actif (AC/TA) en %</t>
  </si>
  <si>
    <t>Couverture des stocks (en jours d'achats)</t>
  </si>
  <si>
    <t>Rotation des stocks (en nombre de fois / an)</t>
  </si>
  <si>
    <t>Flexibilité financière</t>
  </si>
  <si>
    <t>Notes</t>
  </si>
  <si>
    <t>(1) FCF = CAF +/- Variation de BFR - Investissements, ce sont les flux libres de tout engagement opérationnel pouvant servir la dette</t>
  </si>
  <si>
    <t>(2) Dette financière nette =  Dette financière + trésorerie passif - trésorerie actif</t>
  </si>
  <si>
    <t>(3) Taux de TVA utilisé 18%</t>
  </si>
  <si>
    <t>CAF = Capacité d'autofinancement</t>
  </si>
  <si>
    <t>RN = Résultat Net</t>
  </si>
  <si>
    <t>CA = Chiffre d'affaires</t>
  </si>
  <si>
    <t>TA = Total Actif</t>
  </si>
  <si>
    <t>FP = Fonds Propres</t>
  </si>
  <si>
    <t>AC = Actif Circulant</t>
  </si>
  <si>
    <t>PC = Passif Circulant</t>
  </si>
  <si>
    <t>--</t>
  </si>
  <si>
    <t xml:space="preserve">CONTRIBUTION (en millions de FCFA) </t>
  </si>
  <si>
    <t xml:space="preserve">SIFCA SA </t>
  </si>
  <si>
    <t xml:space="preserve">FILIERE CAOUTCHOUC </t>
  </si>
  <si>
    <t xml:space="preserve">FILIERE OLEAGINEUSE </t>
  </si>
  <si>
    <t xml:space="preserve">AUTRES </t>
  </si>
  <si>
    <t xml:space="preserve">CONSOLIDE </t>
  </si>
  <si>
    <t xml:space="preserve">Stocks de matières premières </t>
  </si>
  <si>
    <t xml:space="preserve">Stocks de produits intermédiaires et finis </t>
  </si>
  <si>
    <t xml:space="preserve">Clients et  comptes rattachés </t>
  </si>
  <si>
    <t xml:space="preserve">Trésorerie - Actif (disponibilités) </t>
  </si>
  <si>
    <t xml:space="preserve">Emprunts et dettes financières </t>
  </si>
  <si>
    <t xml:space="preserve">DETTE NETTE </t>
  </si>
  <si>
    <t>Amort immo corp</t>
  </si>
  <si>
    <t>Amort mat première</t>
  </si>
  <si>
    <t>Amort pdts interm</t>
  </si>
  <si>
    <t xml:space="preserve">Immobilisation corporelles </t>
  </si>
  <si>
    <t>PALMCI</t>
  </si>
  <si>
    <t>SANIA</t>
  </si>
  <si>
    <t>COSMO</t>
  </si>
  <si>
    <t>THSP</t>
  </si>
  <si>
    <t>WAL</t>
  </si>
  <si>
    <t>BOPP</t>
  </si>
  <si>
    <t>MOPP</t>
  </si>
  <si>
    <t>SENDISO</t>
  </si>
  <si>
    <t>SAPH</t>
  </si>
  <si>
    <t>GREL</t>
  </si>
  <si>
    <t>RENL</t>
  </si>
  <si>
    <t>CRC</t>
  </si>
  <si>
    <t>SIPH</t>
  </si>
  <si>
    <t>SIFCA SA</t>
  </si>
  <si>
    <t>BIOKALA</t>
  </si>
  <si>
    <t>FILIVOIRE</t>
  </si>
  <si>
    <t>SIFCOM ASSUR</t>
  </si>
  <si>
    <t>ALIZE VOYAGES</t>
  </si>
  <si>
    <t>RESULTAT NET</t>
  </si>
  <si>
    <t>Contribution au résultat consolides %</t>
  </si>
  <si>
    <t>RESULTAT EXPLOITATION</t>
  </si>
  <si>
    <t>Pourcentage du Total %</t>
  </si>
  <si>
    <t>HUILE DE PALME</t>
  </si>
  <si>
    <t>CAOUTCHOUC NATUREL</t>
  </si>
  <si>
    <t>SUCRE DE CANNE</t>
  </si>
  <si>
    <t>HOLDING</t>
  </si>
  <si>
    <t>AUTRES</t>
  </si>
  <si>
    <t>TOTAL HUILE DE PALME</t>
  </si>
  <si>
    <t>TOTAL CAOUTCHOUC NATUREL</t>
  </si>
  <si>
    <t>TOTAL AUTRES</t>
  </si>
  <si>
    <t>CONSOLIDE SIFCA</t>
  </si>
  <si>
    <t>CONSOLIDES (formules)</t>
  </si>
  <si>
    <t>PAYS</t>
  </si>
  <si>
    <t>Côte d'Ivoire</t>
  </si>
  <si>
    <t>Ghana</t>
  </si>
  <si>
    <t>Nigéria</t>
  </si>
  <si>
    <t>Libéria</t>
  </si>
  <si>
    <t>France</t>
  </si>
  <si>
    <t>Sénégal</t>
  </si>
  <si>
    <t>Autres</t>
  </si>
  <si>
    <t>Résultat net</t>
  </si>
  <si>
    <t>TOTAL</t>
  </si>
  <si>
    <t>Résultat net (pays)</t>
  </si>
  <si>
    <t>%</t>
  </si>
  <si>
    <t>Sociétés</t>
  </si>
  <si>
    <t>REN</t>
  </si>
  <si>
    <t>Biokala</t>
  </si>
  <si>
    <t>FILIERES</t>
  </si>
  <si>
    <t>Huile de palme</t>
  </si>
  <si>
    <t>Sucre de canne</t>
  </si>
  <si>
    <t>Holding</t>
  </si>
  <si>
    <t>Contribution</t>
  </si>
  <si>
    <t>Contribution au résultat  2017</t>
  </si>
  <si>
    <t>au résultat 2017</t>
  </si>
  <si>
    <t>SIFCA</t>
  </si>
  <si>
    <t>ALIZE</t>
  </si>
  <si>
    <t>SIFCOM</t>
  </si>
  <si>
    <t>RN</t>
  </si>
  <si>
    <t>IC</t>
  </si>
  <si>
    <t>MP</t>
  </si>
  <si>
    <t>PF</t>
  </si>
  <si>
    <t>CL</t>
  </si>
  <si>
    <t>TA</t>
  </si>
  <si>
    <t>TP</t>
  </si>
  <si>
    <t>DF</t>
  </si>
  <si>
    <t>RESULTAT D'EXPLOITATION (RE)</t>
  </si>
  <si>
    <t>% du total RE</t>
  </si>
  <si>
    <t>% du total RN</t>
  </si>
  <si>
    <t>Opérations faites en commun</t>
  </si>
  <si>
    <r>
      <t xml:space="preserve">Dette financière nette </t>
    </r>
    <r>
      <rPr>
        <b/>
        <sz val="12"/>
        <color rgb="FF808080"/>
        <rFont val="Garamond"/>
        <family val="1"/>
      </rPr>
      <t>(2)</t>
    </r>
  </si>
  <si>
    <r>
      <t xml:space="preserve">Délais clients (en jours de CA) </t>
    </r>
    <r>
      <rPr>
        <sz val="12"/>
        <color rgb="FF808080"/>
        <rFont val="Garamond"/>
        <family val="1"/>
      </rPr>
      <t>(3)</t>
    </r>
  </si>
  <si>
    <r>
      <t xml:space="preserve">Délais fournisseurs (en jours de CA) </t>
    </r>
    <r>
      <rPr>
        <sz val="12"/>
        <color rgb="FF808080"/>
        <rFont val="Garamond"/>
        <family val="1"/>
      </rPr>
      <t>(3)</t>
    </r>
  </si>
  <si>
    <t>Noms</t>
  </si>
  <si>
    <t>Représentant</t>
  </si>
  <si>
    <t>Fonctions</t>
  </si>
  <si>
    <t>Alassane DOUMBIA</t>
  </si>
  <si>
    <t>Famille Lambelin, via Immoriv</t>
  </si>
  <si>
    <t>Président du conseil d’administration</t>
  </si>
  <si>
    <t>Pierre BILLON</t>
  </si>
  <si>
    <t>Famille Billon, via Parme Investissement</t>
  </si>
  <si>
    <t>Administrateur</t>
  </si>
  <si>
    <t xml:space="preserve">Kuok  Khoon HONG </t>
  </si>
  <si>
    <t>Wilmar, via Nauvu</t>
  </si>
  <si>
    <t>David BILLON</t>
  </si>
  <si>
    <t>Lucie BARRY TANNOUS</t>
  </si>
  <si>
    <t>Membres du Conseil d'Administration de SIFCA au 31.12.2018</t>
  </si>
  <si>
    <t>Couverture des charges d'intérêt (EBE/intérêts financiers) en x</t>
  </si>
  <si>
    <t>Investissements</t>
  </si>
  <si>
    <t>Remboursements d'emprunts</t>
  </si>
  <si>
    <t>Nouveaux emprunts</t>
  </si>
  <si>
    <t>Augmentation de capital / Subvention</t>
  </si>
  <si>
    <t>Distribution de dividendes</t>
  </si>
  <si>
    <t>Variation de trésorerie</t>
  </si>
  <si>
    <t>Trésorerie nette d'ouverture</t>
  </si>
  <si>
    <t>Trésorerie nette de clôture</t>
  </si>
  <si>
    <t>Gearing (Dette financière + Tréso Passif /FP) en %</t>
  </si>
  <si>
    <t>(Dette financière + Tréso Passif) /EBE en x</t>
  </si>
  <si>
    <t>COMPTE DE RESULTATS (en millions de FCFA)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</si>
</sst>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%"/>
    <numFmt numFmtId="166" formatCode="#,##0.0"/>
    <numFmt numFmtId="167" formatCode="_(* #,##0_);_(* \(#,##0\);_(* &quot;-&quot;??_);_(@_)"/>
  </numFmts>
  <fonts count="45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i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FFFFFF"/>
      <name val="Calibri"/>
      <family val="2"/>
      <charset val="1"/>
    </font>
    <font>
      <sz val="9"/>
      <color rgb="FFFFFFFF"/>
      <name val="Calibri"/>
      <family val="2"/>
      <charset val="1"/>
    </font>
    <font>
      <b/>
      <sz val="9"/>
      <color rgb="FFFFFFFF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sz val="12"/>
      <color rgb="FF000000"/>
      <name val="Garamond"/>
      <family val="1"/>
    </font>
    <font>
      <b/>
      <u/>
      <sz val="12"/>
      <color theme="0"/>
      <name val="Garamond"/>
      <family val="1"/>
    </font>
    <font>
      <b/>
      <sz val="12"/>
      <color theme="0"/>
      <name val="Garamond"/>
      <family val="1"/>
    </font>
    <font>
      <b/>
      <sz val="12"/>
      <color rgb="FF000000"/>
      <name val="Garamond"/>
      <family val="1"/>
    </font>
    <font>
      <b/>
      <i/>
      <sz val="12"/>
      <color rgb="FF000000"/>
      <name val="Garamond"/>
      <family val="1"/>
    </font>
    <font>
      <b/>
      <sz val="12"/>
      <color rgb="FF808080"/>
      <name val="Garamond"/>
      <family val="1"/>
    </font>
    <font>
      <sz val="12"/>
      <color rgb="FF808080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b/>
      <i/>
      <sz val="12"/>
      <color theme="1"/>
      <name val="Garamond"/>
      <family val="1"/>
    </font>
    <font>
      <b/>
      <sz val="11"/>
      <color rgb="FFFFFFFF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8"/>
      <name val="Arial"/>
      <family val="2"/>
    </font>
    <font>
      <sz val="11"/>
      <name val="Garamond"/>
      <family val="1"/>
    </font>
    <font>
      <sz val="12"/>
      <color theme="1"/>
      <name val="Garamond"/>
      <family val="1"/>
    </font>
    <font>
      <b/>
      <sz val="11"/>
      <name val="Garamond"/>
      <family val="1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CC1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C77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2F549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rgb="FFCCC1DA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theme="5" tint="-0.249977111117893"/>
      </left>
      <right style="thin">
        <color auto="1"/>
      </right>
      <top/>
      <bottom/>
      <diagonal/>
    </border>
    <border>
      <left/>
      <right style="medium">
        <color rgb="FFFFFF00"/>
      </right>
      <top/>
      <bottom/>
      <diagonal/>
    </border>
    <border>
      <left style="thin">
        <color auto="1"/>
      </left>
      <right style="medium">
        <color rgb="FFFFFF00"/>
      </right>
      <top/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rgb="FFC01818"/>
      </left>
      <right/>
      <top style="medium">
        <color auto="1"/>
      </top>
      <bottom style="medium">
        <color auto="1"/>
      </bottom>
      <diagonal/>
    </border>
    <border>
      <left style="medium">
        <color rgb="FFC01818"/>
      </left>
      <right/>
      <top/>
      <bottom/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auto="1"/>
      </top>
      <bottom style="medium">
        <color auto="1"/>
      </bottom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auto="1"/>
      </top>
      <bottom/>
      <diagonal/>
    </border>
    <border>
      <left style="medium">
        <color theme="2" tint="-0.249977111117893"/>
      </left>
      <right style="medium">
        <color theme="2" tint="-0.249977111117893"/>
      </right>
      <top/>
      <bottom/>
      <diagonal/>
    </border>
    <border>
      <left style="medium">
        <color theme="5" tint="-0.249977111117893"/>
      </left>
      <right style="thin">
        <color auto="1"/>
      </right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rgb="FFC01818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rgb="FFFFFF00"/>
      </bottom>
      <diagonal/>
    </border>
    <border>
      <left style="medium">
        <color theme="5" tint="-0.249977111117893"/>
      </left>
      <right/>
      <top style="medium">
        <color auto="1"/>
      </top>
      <bottom style="medium">
        <color theme="5" tint="-0.249977111117893"/>
      </bottom>
      <diagonal/>
    </border>
    <border>
      <left/>
      <right/>
      <top style="medium">
        <color auto="1"/>
      </top>
      <bottom style="medium">
        <color theme="5" tint="-0.249977111117893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9">
    <xf numFmtId="0" fontId="0" fillId="0" borderId="0"/>
    <xf numFmtId="9" fontId="7" fillId="0" borderId="0" applyBorder="0" applyProtection="0"/>
    <xf numFmtId="0" fontId="1" fillId="0" borderId="0"/>
    <xf numFmtId="164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</cellStyleXfs>
  <cellXfs count="386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/>
    <xf numFmtId="3" fontId="0" fillId="0" borderId="0" xfId="0" applyNumberFormat="1" applyBorder="1"/>
    <xf numFmtId="165" fontId="0" fillId="0" borderId="0" xfId="1" applyNumberFormat="1" applyFont="1" applyBorder="1" applyAlignment="1" applyProtection="1"/>
    <xf numFmtId="0" fontId="0" fillId="0" borderId="8" xfId="0" applyBorder="1"/>
    <xf numFmtId="3" fontId="0" fillId="0" borderId="8" xfId="0" applyNumberFormat="1" applyBorder="1"/>
    <xf numFmtId="0" fontId="0" fillId="0" borderId="5" xfId="0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2" borderId="22" xfId="0" applyFill="1" applyBorder="1"/>
    <xf numFmtId="0" fontId="0" fillId="6" borderId="21" xfId="0" applyFill="1" applyBorder="1"/>
    <xf numFmtId="0" fontId="0" fillId="6" borderId="22" xfId="0" applyFill="1" applyBorder="1" applyAlignment="1">
      <alignment wrapText="1"/>
    </xf>
    <xf numFmtId="0" fontId="0" fillId="6" borderId="23" xfId="0" applyFill="1" applyBorder="1" applyAlignment="1">
      <alignment wrapText="1"/>
    </xf>
    <xf numFmtId="0" fontId="13" fillId="6" borderId="15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6" borderId="0" xfId="0" applyNumberFormat="1" applyFont="1" applyFill="1" applyBorder="1" applyAlignment="1">
      <alignment horizontal="center" vertical="center"/>
    </xf>
    <xf numFmtId="3" fontId="14" fillId="6" borderId="2" xfId="0" applyNumberFormat="1" applyFont="1" applyFill="1" applyBorder="1" applyAlignment="1">
      <alignment horizontal="center" vertical="center"/>
    </xf>
    <xf numFmtId="9" fontId="14" fillId="5" borderId="21" xfId="1" applyFont="1" applyFill="1" applyBorder="1" applyAlignment="1">
      <alignment horizontal="center" vertical="center"/>
    </xf>
    <xf numFmtId="9" fontId="14" fillId="5" borderId="21" xfId="1" applyFont="1" applyFill="1" applyBorder="1" applyAlignment="1">
      <alignment horizontal="center"/>
    </xf>
    <xf numFmtId="3" fontId="14" fillId="0" borderId="34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3" fontId="14" fillId="6" borderId="15" xfId="0" applyNumberFormat="1" applyFont="1" applyFill="1" applyBorder="1" applyAlignment="1">
      <alignment horizontal="center" vertical="center"/>
    </xf>
    <xf numFmtId="3" fontId="14" fillId="6" borderId="17" xfId="0" applyNumberFormat="1" applyFont="1" applyFill="1" applyBorder="1" applyAlignment="1">
      <alignment horizontal="center" vertical="center"/>
    </xf>
    <xf numFmtId="3" fontId="14" fillId="8" borderId="42" xfId="0" applyNumberFormat="1" applyFont="1" applyFill="1" applyBorder="1" applyAlignment="1">
      <alignment horizontal="center" vertical="center"/>
    </xf>
    <xf numFmtId="10" fontId="14" fillId="10" borderId="0" xfId="1" applyNumberFormat="1" applyFont="1" applyFill="1" applyBorder="1" applyAlignment="1">
      <alignment horizontal="center"/>
    </xf>
    <xf numFmtId="10" fontId="14" fillId="10" borderId="0" xfId="1" applyNumberFormat="1" applyFont="1" applyFill="1" applyBorder="1" applyAlignment="1">
      <alignment horizontal="center" vertical="center"/>
    </xf>
    <xf numFmtId="10" fontId="14" fillId="10" borderId="39" xfId="1" applyNumberFormat="1" applyFont="1" applyFill="1" applyBorder="1" applyAlignment="1">
      <alignment horizontal="center"/>
    </xf>
    <xf numFmtId="10" fontId="14" fillId="10" borderId="42" xfId="1" applyNumberFormat="1" applyFont="1" applyFill="1" applyBorder="1" applyAlignment="1">
      <alignment horizontal="center"/>
    </xf>
    <xf numFmtId="10" fontId="14" fillId="10" borderId="39" xfId="1" applyNumberFormat="1" applyFont="1" applyFill="1" applyBorder="1" applyAlignment="1">
      <alignment horizontal="center" vertical="center"/>
    </xf>
    <xf numFmtId="0" fontId="0" fillId="0" borderId="0" xfId="0" applyFill="1"/>
    <xf numFmtId="3" fontId="14" fillId="11" borderId="0" xfId="0" applyNumberFormat="1" applyFont="1" applyFill="1" applyBorder="1" applyAlignment="1">
      <alignment horizontal="center" vertical="center"/>
    </xf>
    <xf numFmtId="3" fontId="14" fillId="12" borderId="0" xfId="0" applyNumberFormat="1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 wrapText="1"/>
    </xf>
    <xf numFmtId="0" fontId="0" fillId="8" borderId="41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0" fontId="14" fillId="7" borderId="14" xfId="1" applyNumberFormat="1" applyFont="1" applyFill="1" applyBorder="1" applyAlignment="1">
      <alignment horizontal="center"/>
    </xf>
    <xf numFmtId="0" fontId="12" fillId="13" borderId="38" xfId="0" applyFont="1" applyFill="1" applyBorder="1" applyAlignment="1">
      <alignment horizontal="center"/>
    </xf>
    <xf numFmtId="0" fontId="0" fillId="13" borderId="46" xfId="0" applyFill="1" applyBorder="1" applyAlignment="1">
      <alignment horizontal="center" vertical="center"/>
    </xf>
    <xf numFmtId="3" fontId="14" fillId="13" borderId="39" xfId="0" applyNumberFormat="1" applyFont="1" applyFill="1" applyBorder="1" applyAlignment="1">
      <alignment horizontal="center" vertical="center"/>
    </xf>
    <xf numFmtId="0" fontId="12" fillId="8" borderId="40" xfId="0" applyFont="1" applyFill="1" applyBorder="1" applyAlignment="1">
      <alignment horizontal="center"/>
    </xf>
    <xf numFmtId="0" fontId="12" fillId="14" borderId="31" xfId="0" applyFont="1" applyFill="1" applyBorder="1" applyAlignment="1">
      <alignment horizontal="center" vertical="center" wrapText="1"/>
    </xf>
    <xf numFmtId="3" fontId="14" fillId="14" borderId="21" xfId="0" applyNumberFormat="1" applyFont="1" applyFill="1" applyBorder="1" applyAlignment="1">
      <alignment horizontal="center" vertical="center"/>
    </xf>
    <xf numFmtId="3" fontId="14" fillId="9" borderId="14" xfId="0" applyNumberFormat="1" applyFont="1" applyFill="1" applyBorder="1" applyAlignment="1">
      <alignment horizontal="center" vertical="center"/>
    </xf>
    <xf numFmtId="3" fontId="14" fillId="9" borderId="2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0" xfId="0" applyFill="1" applyBorder="1"/>
    <xf numFmtId="0" fontId="0" fillId="6" borderId="21" xfId="0" applyFill="1" applyBorder="1" applyAlignment="1">
      <alignment wrapText="1"/>
    </xf>
    <xf numFmtId="0" fontId="0" fillId="2" borderId="51" xfId="0" applyFill="1" applyBorder="1"/>
    <xf numFmtId="3" fontId="13" fillId="0" borderId="0" xfId="0" applyNumberFormat="1" applyFont="1"/>
    <xf numFmtId="0" fontId="13" fillId="0" borderId="0" xfId="0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3" fontId="14" fillId="0" borderId="54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16" borderId="23" xfId="0" applyFont="1" applyFill="1" applyBorder="1" applyAlignment="1">
      <alignment horizontal="center" vertical="center"/>
    </xf>
    <xf numFmtId="3" fontId="14" fillId="0" borderId="54" xfId="0" applyNumberFormat="1" applyFont="1" applyBorder="1" applyAlignment="1">
      <alignment horizontal="center" vertical="center" wrapText="1"/>
    </xf>
    <xf numFmtId="10" fontId="14" fillId="0" borderId="55" xfId="1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3" fontId="14" fillId="0" borderId="56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7" fillId="16" borderId="2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 wrapText="1"/>
    </xf>
    <xf numFmtId="10" fontId="14" fillId="0" borderId="61" xfId="1" applyNumberFormat="1" applyFont="1" applyBorder="1" applyAlignment="1">
      <alignment horizontal="center" vertical="center"/>
    </xf>
    <xf numFmtId="3" fontId="14" fillId="0" borderId="58" xfId="0" applyNumberFormat="1" applyFont="1" applyBorder="1" applyAlignment="1">
      <alignment horizontal="center" vertical="center"/>
    </xf>
    <xf numFmtId="9" fontId="14" fillId="0" borderId="59" xfId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16" borderId="21" xfId="0" applyFont="1" applyFill="1" applyBorder="1" applyAlignment="1">
      <alignment horizontal="center" vertical="center"/>
    </xf>
    <xf numFmtId="0" fontId="17" fillId="16" borderId="23" xfId="0" applyFont="1" applyFill="1" applyBorder="1" applyAlignment="1">
      <alignment horizontal="center" vertical="center"/>
    </xf>
    <xf numFmtId="3" fontId="14" fillId="6" borderId="0" xfId="0" applyNumberFormat="1" applyFont="1" applyFill="1" applyBorder="1" applyAlignment="1">
      <alignment horizontal="center" vertical="center"/>
    </xf>
    <xf numFmtId="3" fontId="14" fillId="6" borderId="2" xfId="0" applyNumberFormat="1" applyFont="1" applyFill="1" applyBorder="1" applyAlignment="1">
      <alignment horizontal="center" vertical="center"/>
    </xf>
    <xf numFmtId="167" fontId="14" fillId="0" borderId="56" xfId="3" applyNumberFormat="1" applyFont="1" applyBorder="1" applyAlignment="1">
      <alignment horizontal="center" vertical="center"/>
    </xf>
    <xf numFmtId="167" fontId="14" fillId="0" borderId="54" xfId="3" applyNumberFormat="1" applyFont="1" applyBorder="1" applyAlignment="1">
      <alignment horizontal="center" vertical="center"/>
    </xf>
    <xf numFmtId="167" fontId="14" fillId="0" borderId="54" xfId="3" applyNumberFormat="1" applyFont="1" applyBorder="1" applyAlignment="1">
      <alignment horizontal="center" vertical="center" wrapText="1"/>
    </xf>
    <xf numFmtId="167" fontId="14" fillId="0" borderId="60" xfId="3" applyNumberFormat="1" applyFont="1" applyBorder="1" applyAlignment="1">
      <alignment horizontal="center" vertical="center"/>
    </xf>
    <xf numFmtId="167" fontId="14" fillId="0" borderId="60" xfId="3" applyNumberFormat="1" applyFont="1" applyBorder="1" applyAlignment="1">
      <alignment horizontal="center" vertical="center" wrapText="1"/>
    </xf>
    <xf numFmtId="167" fontId="14" fillId="0" borderId="24" xfId="3" applyNumberFormat="1" applyFont="1" applyBorder="1" applyAlignment="1">
      <alignment horizontal="center" vertical="center"/>
    </xf>
    <xf numFmtId="167" fontId="14" fillId="0" borderId="58" xfId="3" applyNumberFormat="1" applyFont="1" applyBorder="1" applyAlignment="1">
      <alignment horizontal="center" vertical="center"/>
    </xf>
    <xf numFmtId="10" fontId="14" fillId="0" borderId="55" xfId="1" applyNumberFormat="1" applyFont="1" applyBorder="1" applyAlignment="1">
      <alignment horizontal="right" vertical="center"/>
    </xf>
    <xf numFmtId="10" fontId="14" fillId="0" borderId="61" xfId="1" applyNumberFormat="1" applyFont="1" applyBorder="1" applyAlignment="1">
      <alignment horizontal="right" vertical="center"/>
    </xf>
    <xf numFmtId="9" fontId="14" fillId="0" borderId="59" xfId="1" applyFont="1" applyBorder="1" applyAlignment="1">
      <alignment horizontal="right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right" vertical="center"/>
    </xf>
    <xf numFmtId="0" fontId="16" fillId="2" borderId="59" xfId="0" applyFont="1" applyFill="1" applyBorder="1" applyAlignment="1">
      <alignment horizontal="right" vertical="center"/>
    </xf>
    <xf numFmtId="0" fontId="20" fillId="0" borderId="17" xfId="0" applyFont="1" applyBorder="1" applyAlignment="1">
      <alignment vertical="center"/>
    </xf>
    <xf numFmtId="0" fontId="19" fillId="19" borderId="17" xfId="0" applyFont="1" applyFill="1" applyBorder="1" applyAlignment="1">
      <alignment horizontal="center" vertical="center"/>
    </xf>
    <xf numFmtId="0" fontId="19" fillId="19" borderId="20" xfId="0" applyFont="1" applyFill="1" applyBorder="1" applyAlignment="1">
      <alignment horizontal="center" vertical="center"/>
    </xf>
    <xf numFmtId="0" fontId="19" fillId="19" borderId="20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9" fillId="16" borderId="17" xfId="0" applyFont="1" applyFill="1" applyBorder="1" applyAlignment="1">
      <alignment horizontal="left" vertical="center"/>
    </xf>
    <xf numFmtId="0" fontId="16" fillId="0" borderId="17" xfId="0" applyFont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20" fillId="2" borderId="15" xfId="0" applyFont="1" applyFill="1" applyBorder="1"/>
    <xf numFmtId="0" fontId="20" fillId="2" borderId="2" xfId="0" applyFont="1" applyFill="1" applyBorder="1"/>
    <xf numFmtId="0" fontId="20" fillId="2" borderId="17" xfId="0" applyFont="1" applyFill="1" applyBorder="1" applyAlignment="1">
      <alignment vertical="center"/>
    </xf>
    <xf numFmtId="1" fontId="0" fillId="0" borderId="0" xfId="0" applyNumberFormat="1"/>
    <xf numFmtId="0" fontId="0" fillId="21" borderId="0" xfId="0" applyFill="1"/>
    <xf numFmtId="1" fontId="0" fillId="21" borderId="0" xfId="0" applyNumberFormat="1" applyFill="1"/>
    <xf numFmtId="0" fontId="0" fillId="22" borderId="0" xfId="0" applyFill="1"/>
    <xf numFmtId="1" fontId="0" fillId="22" borderId="0" xfId="0" applyNumberFormat="1" applyFill="1"/>
    <xf numFmtId="0" fontId="0" fillId="23" borderId="0" xfId="0" applyFill="1"/>
    <xf numFmtId="1" fontId="0" fillId="23" borderId="0" xfId="0" applyNumberFormat="1" applyFill="1"/>
    <xf numFmtId="0" fontId="0" fillId="4" borderId="0" xfId="0" applyFill="1"/>
    <xf numFmtId="1" fontId="0" fillId="4" borderId="0" xfId="0" applyNumberFormat="1" applyFill="1"/>
    <xf numFmtId="0" fontId="0" fillId="24" borderId="0" xfId="0" applyFill="1"/>
    <xf numFmtId="1" fontId="0" fillId="24" borderId="0" xfId="0" applyNumberFormat="1" applyFill="1"/>
    <xf numFmtId="1" fontId="0" fillId="0" borderId="0" xfId="0" applyNumberFormat="1" applyAlignment="1">
      <alignment horizontal="center"/>
    </xf>
    <xf numFmtId="165" fontId="16" fillId="0" borderId="17" xfId="1" applyNumberFormat="1" applyFont="1" applyBorder="1" applyAlignment="1">
      <alignment horizontal="center" vertical="center"/>
    </xf>
    <xf numFmtId="0" fontId="0" fillId="25" borderId="0" xfId="0" applyFill="1"/>
    <xf numFmtId="1" fontId="0" fillId="25" borderId="0" xfId="0" applyNumberFormat="1" applyFill="1"/>
    <xf numFmtId="3" fontId="21" fillId="2" borderId="29" xfId="0" applyNumberFormat="1" applyFont="1" applyFill="1" applyBorder="1"/>
    <xf numFmtId="3" fontId="21" fillId="2" borderId="32" xfId="0" applyNumberFormat="1" applyFont="1" applyFill="1" applyBorder="1"/>
    <xf numFmtId="0" fontId="22" fillId="2" borderId="14" xfId="0" applyFont="1" applyFill="1" applyBorder="1"/>
    <xf numFmtId="0" fontId="22" fillId="2" borderId="0" xfId="0" applyFont="1" applyFill="1" applyBorder="1"/>
    <xf numFmtId="165" fontId="21" fillId="2" borderId="29" xfId="1" applyNumberFormat="1" applyFont="1" applyFill="1" applyBorder="1"/>
    <xf numFmtId="165" fontId="21" fillId="2" borderId="6" xfId="1" applyNumberFormat="1" applyFont="1" applyFill="1" applyBorder="1"/>
    <xf numFmtId="165" fontId="21" fillId="2" borderId="32" xfId="1" applyNumberFormat="1" applyFont="1" applyFill="1" applyBorder="1"/>
    <xf numFmtId="3" fontId="21" fillId="2" borderId="6" xfId="0" applyNumberFormat="1" applyFont="1" applyFill="1" applyBorder="1"/>
    <xf numFmtId="0" fontId="22" fillId="2" borderId="16" xfId="0" applyFont="1" applyFill="1" applyBorder="1"/>
    <xf numFmtId="0" fontId="22" fillId="2" borderId="2" xfId="0" applyFont="1" applyFill="1" applyBorder="1"/>
    <xf numFmtId="3" fontId="21" fillId="2" borderId="30" xfId="0" applyNumberFormat="1" applyFont="1" applyFill="1" applyBorder="1"/>
    <xf numFmtId="3" fontId="21" fillId="2" borderId="28" xfId="0" applyNumberFormat="1" applyFont="1" applyFill="1" applyBorder="1"/>
    <xf numFmtId="3" fontId="21" fillId="2" borderId="33" xfId="0" applyNumberFormat="1" applyFont="1" applyFill="1" applyBorder="1"/>
    <xf numFmtId="3" fontId="11" fillId="2" borderId="29" xfId="0" applyNumberFormat="1" applyFont="1" applyFill="1" applyBorder="1"/>
    <xf numFmtId="3" fontId="11" fillId="2" borderId="6" xfId="0" applyNumberFormat="1" applyFont="1" applyFill="1" applyBorder="1"/>
    <xf numFmtId="3" fontId="11" fillId="2" borderId="32" xfId="0" applyNumberFormat="1" applyFont="1" applyFill="1" applyBorder="1"/>
    <xf numFmtId="165" fontId="11" fillId="2" borderId="29" xfId="1" applyNumberFormat="1" applyFont="1" applyFill="1" applyBorder="1"/>
    <xf numFmtId="165" fontId="11" fillId="2" borderId="6" xfId="1" applyNumberFormat="1" applyFont="1" applyFill="1" applyBorder="1"/>
    <xf numFmtId="3" fontId="11" fillId="2" borderId="30" xfId="0" applyNumberFormat="1" applyFont="1" applyFill="1" applyBorder="1"/>
    <xf numFmtId="3" fontId="11" fillId="2" borderId="28" xfId="0" applyNumberFormat="1" applyFont="1" applyFill="1" applyBorder="1"/>
    <xf numFmtId="3" fontId="11" fillId="2" borderId="33" xfId="0" applyNumberFormat="1" applyFont="1" applyFill="1" applyBorder="1"/>
    <xf numFmtId="0" fontId="21" fillId="2" borderId="0" xfId="0" applyFont="1" applyFill="1"/>
    <xf numFmtId="0" fontId="22" fillId="2" borderId="0" xfId="0" applyFont="1" applyFill="1"/>
    <xf numFmtId="3" fontId="11" fillId="2" borderId="5" xfId="0" applyNumberFormat="1" applyFont="1" applyFill="1" applyBorder="1"/>
    <xf numFmtId="3" fontId="11" fillId="2" borderId="4" xfId="0" applyNumberFormat="1" applyFont="1" applyFill="1" applyBorder="1"/>
    <xf numFmtId="165" fontId="11" fillId="2" borderId="5" xfId="1" applyNumberFormat="1" applyFont="1" applyFill="1" applyBorder="1"/>
    <xf numFmtId="165" fontId="11" fillId="2" borderId="4" xfId="1" applyNumberFormat="1" applyFont="1" applyFill="1" applyBorder="1"/>
    <xf numFmtId="3" fontId="22" fillId="2" borderId="0" xfId="0" applyNumberFormat="1" applyFont="1" applyFill="1"/>
    <xf numFmtId="3" fontId="11" fillId="2" borderId="26" xfId="0" applyNumberFormat="1" applyFont="1" applyFill="1" applyBorder="1"/>
    <xf numFmtId="3" fontId="11" fillId="2" borderId="62" xfId="0" applyNumberFormat="1" applyFont="1" applyFill="1" applyBorder="1"/>
    <xf numFmtId="165" fontId="11" fillId="2" borderId="32" xfId="1" applyNumberFormat="1" applyFont="1" applyFill="1" applyBorder="1"/>
    <xf numFmtId="165" fontId="22" fillId="2" borderId="32" xfId="1" applyNumberFormat="1" applyFont="1" applyFill="1" applyBorder="1"/>
    <xf numFmtId="3" fontId="21" fillId="2" borderId="0" xfId="0" applyNumberFormat="1" applyFont="1" applyFill="1"/>
    <xf numFmtId="0" fontId="25" fillId="2" borderId="0" xfId="0" applyFont="1" applyFill="1"/>
    <xf numFmtId="0" fontId="24" fillId="2" borderId="0" xfId="0" applyFont="1" applyFill="1"/>
    <xf numFmtId="0" fontId="22" fillId="22" borderId="11" xfId="0" applyFont="1" applyFill="1" applyBorder="1"/>
    <xf numFmtId="0" fontId="22" fillId="22" borderId="12" xfId="0" applyFont="1" applyFill="1" applyBorder="1"/>
    <xf numFmtId="3" fontId="21" fillId="22" borderId="29" xfId="0" applyNumberFormat="1" applyFont="1" applyFill="1" applyBorder="1"/>
    <xf numFmtId="3" fontId="21" fillId="22" borderId="27" xfId="0" applyNumberFormat="1" applyFont="1" applyFill="1" applyBorder="1"/>
    <xf numFmtId="3" fontId="21" fillId="22" borderId="32" xfId="0" applyNumberFormat="1" applyFont="1" applyFill="1" applyBorder="1"/>
    <xf numFmtId="3" fontId="11" fillId="22" borderId="5" xfId="0" applyNumberFormat="1" applyFont="1" applyFill="1" applyBorder="1"/>
    <xf numFmtId="3" fontId="11" fillId="22" borderId="6" xfId="0" applyNumberFormat="1" applyFont="1" applyFill="1" applyBorder="1"/>
    <xf numFmtId="3" fontId="11" fillId="22" borderId="4" xfId="0" applyNumberFormat="1" applyFont="1" applyFill="1" applyBorder="1"/>
    <xf numFmtId="3" fontId="21" fillId="22" borderId="6" xfId="0" applyNumberFormat="1" applyFont="1" applyFill="1" applyBorder="1"/>
    <xf numFmtId="0" fontId="24" fillId="22" borderId="0" xfId="0" applyFont="1" applyFill="1" applyBorder="1"/>
    <xf numFmtId="3" fontId="25" fillId="22" borderId="29" xfId="0" applyNumberFormat="1" applyFont="1" applyFill="1" applyBorder="1"/>
    <xf numFmtId="3" fontId="25" fillId="22" borderId="6" xfId="0" applyNumberFormat="1" applyFont="1" applyFill="1" applyBorder="1"/>
    <xf numFmtId="3" fontId="25" fillId="22" borderId="32" xfId="0" applyNumberFormat="1" applyFont="1" applyFill="1" applyBorder="1"/>
    <xf numFmtId="3" fontId="9" fillId="22" borderId="5" xfId="0" applyNumberFormat="1" applyFont="1" applyFill="1" applyBorder="1"/>
    <xf numFmtId="3" fontId="9" fillId="22" borderId="6" xfId="0" applyNumberFormat="1" applyFont="1" applyFill="1" applyBorder="1"/>
    <xf numFmtId="3" fontId="9" fillId="22" borderId="4" xfId="0" applyNumberFormat="1" applyFont="1" applyFill="1" applyBorder="1"/>
    <xf numFmtId="0" fontId="22" fillId="22" borderId="14" xfId="0" applyFont="1" applyFill="1" applyBorder="1"/>
    <xf numFmtId="0" fontId="22" fillId="22" borderId="0" xfId="0" applyFont="1" applyFill="1" applyBorder="1"/>
    <xf numFmtId="3" fontId="11" fillId="22" borderId="29" xfId="0" applyNumberFormat="1" applyFont="1" applyFill="1" applyBorder="1"/>
    <xf numFmtId="3" fontId="11" fillId="22" borderId="32" xfId="0" applyNumberFormat="1" applyFont="1" applyFill="1" applyBorder="1"/>
    <xf numFmtId="3" fontId="9" fillId="22" borderId="29" xfId="0" applyNumberFormat="1" applyFont="1" applyFill="1" applyBorder="1"/>
    <xf numFmtId="3" fontId="9" fillId="22" borderId="32" xfId="0" applyNumberFormat="1" applyFont="1" applyFill="1" applyBorder="1"/>
    <xf numFmtId="0" fontId="24" fillId="22" borderId="14" xfId="0" applyFont="1" applyFill="1" applyBorder="1"/>
    <xf numFmtId="0" fontId="10" fillId="27" borderId="30" xfId="0" applyFont="1" applyFill="1" applyBorder="1" applyAlignment="1">
      <alignment horizontal="center"/>
    </xf>
    <xf numFmtId="0" fontId="10" fillId="27" borderId="28" xfId="0" applyFont="1" applyFill="1" applyBorder="1" applyAlignment="1">
      <alignment horizontal="center"/>
    </xf>
    <xf numFmtId="0" fontId="10" fillId="27" borderId="33" xfId="0" applyFont="1" applyFill="1" applyBorder="1" applyAlignment="1">
      <alignment horizontal="center"/>
    </xf>
    <xf numFmtId="0" fontId="10" fillId="27" borderId="26" xfId="0" applyFont="1" applyFill="1" applyBorder="1" applyAlignment="1">
      <alignment horizontal="center"/>
    </xf>
    <xf numFmtId="0" fontId="10" fillId="27" borderId="62" xfId="0" applyFont="1" applyFill="1" applyBorder="1" applyAlignment="1">
      <alignment horizontal="center"/>
    </xf>
    <xf numFmtId="0" fontId="10" fillId="27" borderId="63" xfId="0" applyFont="1" applyFill="1" applyBorder="1" applyAlignment="1">
      <alignment horizontal="center"/>
    </xf>
    <xf numFmtId="0" fontId="10" fillId="27" borderId="58" xfId="0" applyFont="1" applyFill="1" applyBorder="1" applyAlignment="1">
      <alignment horizontal="center"/>
    </xf>
    <xf numFmtId="0" fontId="10" fillId="27" borderId="59" xfId="0" applyFont="1" applyFill="1" applyBorder="1" applyAlignment="1">
      <alignment horizontal="center"/>
    </xf>
    <xf numFmtId="0" fontId="0" fillId="2" borderId="0" xfId="0" applyFill="1"/>
    <xf numFmtId="0" fontId="26" fillId="0" borderId="0" xfId="0" applyFont="1"/>
    <xf numFmtId="0" fontId="27" fillId="29" borderId="3" xfId="0" applyFont="1" applyFill="1" applyBorder="1"/>
    <xf numFmtId="14" fontId="28" fillId="28" borderId="1" xfId="0" applyNumberFormat="1" applyFont="1" applyFill="1" applyBorder="1"/>
    <xf numFmtId="0" fontId="28" fillId="29" borderId="1" xfId="0" applyFont="1" applyFill="1" applyBorder="1"/>
    <xf numFmtId="0" fontId="29" fillId="0" borderId="0" xfId="0" applyFont="1"/>
    <xf numFmtId="0" fontId="26" fillId="0" borderId="4" xfId="0" applyFont="1" applyBorder="1"/>
    <xf numFmtId="3" fontId="26" fillId="0" borderId="0" xfId="0" applyNumberFormat="1" applyFont="1" applyBorder="1"/>
    <xf numFmtId="0" fontId="26" fillId="0" borderId="0" xfId="0" applyFont="1" applyBorder="1"/>
    <xf numFmtId="0" fontId="26" fillId="0" borderId="4" xfId="0" applyFont="1" applyBorder="1" applyAlignment="1">
      <alignment horizontal="left"/>
    </xf>
    <xf numFmtId="0" fontId="30" fillId="0" borderId="0" xfId="0" applyFont="1"/>
    <xf numFmtId="3" fontId="26" fillId="0" borderId="8" xfId="0" applyNumberFormat="1" applyFont="1" applyBorder="1"/>
    <xf numFmtId="3" fontId="26" fillId="0" borderId="1" xfId="0" applyNumberFormat="1" applyFont="1" applyBorder="1"/>
    <xf numFmtId="3" fontId="26" fillId="0" borderId="0" xfId="0" applyNumberFormat="1" applyFont="1"/>
    <xf numFmtId="0" fontId="26" fillId="0" borderId="4" xfId="0" applyFont="1" applyBorder="1" applyAlignment="1">
      <alignment horizontal="left" indent="1"/>
    </xf>
    <xf numFmtId="3" fontId="26" fillId="0" borderId="0" xfId="0" quotePrefix="1" applyNumberFormat="1" applyFont="1" applyBorder="1" applyAlignment="1">
      <alignment horizontal="right"/>
    </xf>
    <xf numFmtId="166" fontId="26" fillId="0" borderId="0" xfId="0" applyNumberFormat="1" applyFont="1" applyBorder="1"/>
    <xf numFmtId="166" fontId="26" fillId="0" borderId="0" xfId="0" quotePrefix="1" applyNumberFormat="1" applyFont="1" applyBorder="1" applyAlignment="1">
      <alignment horizontal="right"/>
    </xf>
    <xf numFmtId="0" fontId="26" fillId="0" borderId="7" xfId="0" applyFont="1" applyBorder="1" applyAlignment="1">
      <alignment horizontal="left"/>
    </xf>
    <xf numFmtId="166" fontId="26" fillId="0" borderId="8" xfId="0" applyNumberFormat="1" applyFont="1" applyBorder="1"/>
    <xf numFmtId="166" fontId="26" fillId="0" borderId="0" xfId="0" applyNumberFormat="1" applyFont="1" applyBorder="1" applyAlignment="1">
      <alignment horizontal="right"/>
    </xf>
    <xf numFmtId="0" fontId="26" fillId="0" borderId="7" xfId="0" applyFont="1" applyBorder="1"/>
    <xf numFmtId="0" fontId="33" fillId="3" borderId="1" xfId="0" applyFont="1" applyFill="1" applyBorder="1"/>
    <xf numFmtId="0" fontId="33" fillId="4" borderId="1" xfId="0" applyFont="1" applyFill="1" applyBorder="1"/>
    <xf numFmtId="0" fontId="33" fillId="3" borderId="0" xfId="0" applyFont="1" applyFill="1" applyBorder="1"/>
    <xf numFmtId="0" fontId="33" fillId="4" borderId="0" xfId="0" applyFont="1" applyFill="1" applyBorder="1"/>
    <xf numFmtId="0" fontId="33" fillId="3" borderId="8" xfId="0" applyFont="1" applyFill="1" applyBorder="1"/>
    <xf numFmtId="0" fontId="33" fillId="4" borderId="8" xfId="0" applyFont="1" applyFill="1" applyBorder="1"/>
    <xf numFmtId="0" fontId="34" fillId="4" borderId="4" xfId="0" applyFont="1" applyFill="1" applyBorder="1" applyAlignment="1">
      <alignment horizontal="left"/>
    </xf>
    <xf numFmtId="3" fontId="34" fillId="4" borderId="0" xfId="0" applyNumberFormat="1" applyFont="1" applyFill="1" applyBorder="1"/>
    <xf numFmtId="0" fontId="34" fillId="4" borderId="3" xfId="0" applyFont="1" applyFill="1" applyBorder="1"/>
    <xf numFmtId="3" fontId="34" fillId="4" borderId="1" xfId="0" applyNumberFormat="1" applyFont="1" applyFill="1" applyBorder="1"/>
    <xf numFmtId="0" fontId="35" fillId="4" borderId="4" xfId="0" applyFont="1" applyFill="1" applyBorder="1"/>
    <xf numFmtId="165" fontId="35" fillId="4" borderId="0" xfId="1" applyNumberFormat="1" applyFont="1" applyFill="1" applyBorder="1"/>
    <xf numFmtId="0" fontId="35" fillId="4" borderId="7" xfId="0" applyFont="1" applyFill="1" applyBorder="1"/>
    <xf numFmtId="165" fontId="35" fillId="4" borderId="8" xfId="1" applyNumberFormat="1" applyFont="1" applyFill="1" applyBorder="1"/>
    <xf numFmtId="0" fontId="34" fillId="4" borderId="9" xfId="0" applyFont="1" applyFill="1" applyBorder="1"/>
    <xf numFmtId="3" fontId="34" fillId="4" borderId="10" xfId="0" applyNumberFormat="1" applyFont="1" applyFill="1" applyBorder="1"/>
    <xf numFmtId="0" fontId="34" fillId="4" borderId="4" xfId="0" applyFont="1" applyFill="1" applyBorder="1"/>
    <xf numFmtId="0" fontId="34" fillId="4" borderId="7" xfId="0" applyFont="1" applyFill="1" applyBorder="1" applyAlignment="1">
      <alignment horizontal="left"/>
    </xf>
    <xf numFmtId="3" fontId="34" fillId="4" borderId="8" xfId="0" applyNumberFormat="1" applyFont="1" applyFill="1" applyBorder="1"/>
    <xf numFmtId="3" fontId="34" fillId="4" borderId="65" xfId="0" applyNumberFormat="1" applyFont="1" applyFill="1" applyBorder="1"/>
    <xf numFmtId="0" fontId="36" fillId="31" borderId="54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37" fillId="31" borderId="54" xfId="0" applyFont="1" applyFill="1" applyBorder="1" applyAlignment="1">
      <alignment horizontal="center" vertical="center"/>
    </xf>
    <xf numFmtId="0" fontId="37" fillId="31" borderId="54" xfId="0" applyFont="1" applyFill="1" applyBorder="1" applyAlignment="1">
      <alignment horizontal="center" vertical="center" wrapText="1"/>
    </xf>
    <xf numFmtId="0" fontId="28" fillId="29" borderId="66" xfId="0" applyFont="1" applyFill="1" applyBorder="1"/>
    <xf numFmtId="3" fontId="26" fillId="0" borderId="5" xfId="0" applyNumberFormat="1" applyFont="1" applyBorder="1"/>
    <xf numFmtId="3" fontId="34" fillId="4" borderId="5" xfId="0" applyNumberFormat="1" applyFont="1" applyFill="1" applyBorder="1"/>
    <xf numFmtId="166" fontId="26" fillId="0" borderId="5" xfId="0" applyNumberFormat="1" applyFont="1" applyBorder="1"/>
    <xf numFmtId="166" fontId="26" fillId="0" borderId="67" xfId="0" applyNumberFormat="1" applyFont="1" applyBorder="1"/>
    <xf numFmtId="0" fontId="33" fillId="4" borderId="66" xfId="0" applyFont="1" applyFill="1" applyBorder="1"/>
    <xf numFmtId="0" fontId="33" fillId="4" borderId="5" xfId="0" applyFont="1" applyFill="1" applyBorder="1"/>
    <xf numFmtId="0" fontId="33" fillId="4" borderId="67" xfId="0" applyFont="1" applyFill="1" applyBorder="1"/>
    <xf numFmtId="166" fontId="26" fillId="0" borderId="5" xfId="0" quotePrefix="1" applyNumberFormat="1" applyFont="1" applyBorder="1" applyAlignment="1">
      <alignment horizontal="right"/>
    </xf>
    <xf numFmtId="3" fontId="26" fillId="0" borderId="5" xfId="0" quotePrefix="1" applyNumberFormat="1" applyFont="1" applyBorder="1" applyAlignment="1">
      <alignment horizontal="right"/>
    </xf>
    <xf numFmtId="3" fontId="34" fillId="4" borderId="68" xfId="0" applyNumberFormat="1" applyFont="1" applyFill="1" applyBorder="1"/>
    <xf numFmtId="0" fontId="26" fillId="0" borderId="5" xfId="0" applyFont="1" applyBorder="1"/>
    <xf numFmtId="3" fontId="26" fillId="0" borderId="67" xfId="0" applyNumberFormat="1" applyFont="1" applyBorder="1"/>
    <xf numFmtId="3" fontId="34" fillId="4" borderId="66" xfId="0" applyNumberFormat="1" applyFont="1" applyFill="1" applyBorder="1"/>
    <xf numFmtId="165" fontId="35" fillId="4" borderId="5" xfId="1" applyNumberFormat="1" applyFont="1" applyFill="1" applyBorder="1"/>
    <xf numFmtId="165" fontId="35" fillId="4" borderId="67" xfId="1" applyNumberFormat="1" applyFont="1" applyFill="1" applyBorder="1"/>
    <xf numFmtId="0" fontId="43" fillId="0" borderId="4" xfId="0" applyFont="1" applyBorder="1" applyAlignment="1">
      <alignment horizontal="left" indent="1"/>
    </xf>
    <xf numFmtId="0" fontId="34" fillId="0" borderId="4" xfId="0" applyFont="1" applyBorder="1" applyAlignment="1">
      <alignment horizontal="left" indent="1"/>
    </xf>
    <xf numFmtId="3" fontId="34" fillId="0" borderId="0" xfId="0" applyNumberFormat="1" applyFont="1" applyFill="1" applyBorder="1"/>
    <xf numFmtId="3" fontId="26" fillId="0" borderId="70" xfId="0" applyNumberFormat="1" applyFont="1" applyBorder="1"/>
    <xf numFmtId="0" fontId="43" fillId="0" borderId="71" xfId="0" applyFont="1" applyBorder="1" applyAlignment="1">
      <alignment horizontal="left" indent="1"/>
    </xf>
    <xf numFmtId="0" fontId="43" fillId="0" borderId="72" xfId="0" applyFont="1" applyBorder="1" applyAlignment="1">
      <alignment horizontal="left" indent="1"/>
    </xf>
    <xf numFmtId="0" fontId="29" fillId="0" borderId="4" xfId="0" applyFont="1" applyBorder="1" applyAlignment="1">
      <alignment horizontal="left" indent="1"/>
    </xf>
    <xf numFmtId="3" fontId="29" fillId="0" borderId="0" xfId="0" applyNumberFormat="1" applyFont="1" applyBorder="1"/>
    <xf numFmtId="3" fontId="29" fillId="0" borderId="69" xfId="0" applyNumberFormat="1" applyFont="1" applyBorder="1"/>
    <xf numFmtId="0" fontId="26" fillId="0" borderId="70" xfId="0" applyFont="1" applyBorder="1"/>
    <xf numFmtId="0" fontId="28" fillId="29" borderId="0" xfId="0" applyFont="1" applyFill="1" applyBorder="1"/>
    <xf numFmtId="0" fontId="44" fillId="3" borderId="3" xfId="0" applyFont="1" applyFill="1" applyBorder="1"/>
    <xf numFmtId="0" fontId="42" fillId="3" borderId="4" xfId="0" applyFont="1" applyFill="1" applyBorder="1"/>
    <xf numFmtId="0" fontId="42" fillId="3" borderId="7" xfId="0" applyFont="1" applyFill="1" applyBorder="1"/>
    <xf numFmtId="0" fontId="26" fillId="4" borderId="4" xfId="0" applyFont="1" applyFill="1" applyBorder="1" applyAlignment="1">
      <alignment horizontal="left"/>
    </xf>
    <xf numFmtId="3" fontId="26" fillId="4" borderId="0" xfId="0" quotePrefix="1" applyNumberFormat="1" applyFont="1" applyFill="1" applyBorder="1" applyAlignment="1">
      <alignment horizontal="right"/>
    </xf>
    <xf numFmtId="166" fontId="26" fillId="4" borderId="0" xfId="0" applyNumberFormat="1" applyFont="1" applyFill="1" applyBorder="1"/>
    <xf numFmtId="166" fontId="26" fillId="4" borderId="5" xfId="0" applyNumberFormat="1" applyFont="1" applyFill="1" applyBorder="1"/>
    <xf numFmtId="0" fontId="26" fillId="4" borderId="7" xfId="0" applyFont="1" applyFill="1" applyBorder="1" applyAlignment="1">
      <alignment horizontal="left"/>
    </xf>
    <xf numFmtId="3" fontId="26" fillId="4" borderId="8" xfId="0" quotePrefix="1" applyNumberFormat="1" applyFont="1" applyFill="1" applyBorder="1" applyAlignment="1">
      <alignment horizontal="right"/>
    </xf>
    <xf numFmtId="166" fontId="26" fillId="4" borderId="8" xfId="0" applyNumberFormat="1" applyFont="1" applyFill="1" applyBorder="1"/>
    <xf numFmtId="166" fontId="26" fillId="4" borderId="67" xfId="0" applyNumberFormat="1" applyFont="1" applyFill="1" applyBorder="1"/>
    <xf numFmtId="166" fontId="26" fillId="4" borderId="0" xfId="0" quotePrefix="1" applyNumberFormat="1" applyFont="1" applyFill="1" applyBorder="1" applyAlignment="1">
      <alignment horizontal="right"/>
    </xf>
    <xf numFmtId="166" fontId="26" fillId="4" borderId="8" xfId="0" quotePrefix="1" applyNumberFormat="1" applyFont="1" applyFill="1" applyBorder="1" applyAlignment="1">
      <alignment horizontal="right"/>
    </xf>
    <xf numFmtId="0" fontId="38" fillId="30" borderId="54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15" borderId="21" xfId="0" applyFont="1" applyFill="1" applyBorder="1" applyAlignment="1">
      <alignment horizontal="center" vertical="center" textRotation="90"/>
    </xf>
    <xf numFmtId="0" fontId="18" fillId="16" borderId="31" xfId="0" applyFont="1" applyFill="1" applyBorder="1" applyAlignment="1">
      <alignment horizontal="center" vertical="center"/>
    </xf>
    <xf numFmtId="0" fontId="18" fillId="16" borderId="21" xfId="0" applyFont="1" applyFill="1" applyBorder="1" applyAlignment="1">
      <alignment horizontal="center" vertical="center"/>
    </xf>
    <xf numFmtId="0" fontId="18" fillId="16" borderId="23" xfId="0" applyFont="1" applyFill="1" applyBorder="1" applyAlignment="1">
      <alignment horizontal="center" vertical="center"/>
    </xf>
    <xf numFmtId="0" fontId="17" fillId="16" borderId="21" xfId="0" applyFont="1" applyFill="1" applyBorder="1" applyAlignment="1">
      <alignment horizontal="center" vertical="center"/>
    </xf>
    <xf numFmtId="0" fontId="17" fillId="16" borderId="23" xfId="0" applyFont="1" applyFill="1" applyBorder="1" applyAlignment="1">
      <alignment horizontal="center" vertical="center"/>
    </xf>
    <xf numFmtId="0" fontId="17" fillId="16" borderId="31" xfId="0" applyFont="1" applyFill="1" applyBorder="1" applyAlignment="1">
      <alignment horizontal="center" vertical="center"/>
    </xf>
    <xf numFmtId="3" fontId="14" fillId="6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6" borderId="2" xfId="0" applyNumberFormat="1" applyFont="1" applyFill="1" applyBorder="1" applyAlignment="1">
      <alignment horizontal="center" vertical="center"/>
    </xf>
    <xf numFmtId="3" fontId="14" fillId="0" borderId="56" xfId="0" applyNumberFormat="1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3" fontId="14" fillId="0" borderId="54" xfId="0" applyNumberFormat="1" applyFont="1" applyBorder="1" applyAlignment="1">
      <alignment horizontal="center" vertical="center" wrapText="1"/>
    </xf>
    <xf numFmtId="10" fontId="14" fillId="0" borderId="57" xfId="1" applyNumberFormat="1" applyFont="1" applyBorder="1" applyAlignment="1">
      <alignment horizontal="center" vertical="center"/>
    </xf>
    <xf numFmtId="10" fontId="14" fillId="0" borderId="55" xfId="1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12" borderId="48" xfId="0" applyFont="1" applyFill="1" applyBorder="1" applyAlignment="1">
      <alignment horizontal="center" wrapText="1"/>
    </xf>
    <xf numFmtId="0" fontId="12" fillId="12" borderId="49" xfId="0" applyFont="1" applyFill="1" applyBorder="1" applyAlignment="1">
      <alignment horizontal="center" wrapText="1"/>
    </xf>
    <xf numFmtId="0" fontId="12" fillId="11" borderId="47" xfId="0" applyFont="1" applyFill="1" applyBorder="1" applyAlignment="1">
      <alignment horizontal="center" wrapText="1"/>
    </xf>
    <xf numFmtId="0" fontId="12" fillId="14" borderId="12" xfId="0" applyFont="1" applyFill="1" applyBorder="1" applyAlignment="1">
      <alignment horizontal="center"/>
    </xf>
    <xf numFmtId="0" fontId="12" fillId="14" borderId="13" xfId="0" applyFont="1" applyFill="1" applyBorder="1" applyAlignment="1">
      <alignment horizontal="center"/>
    </xf>
    <xf numFmtId="0" fontId="12" fillId="9" borderId="31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9" fillId="16" borderId="31" xfId="0" applyFont="1" applyFill="1" applyBorder="1" applyAlignment="1">
      <alignment horizontal="center" vertical="center"/>
    </xf>
    <xf numFmtId="0" fontId="19" fillId="16" borderId="21" xfId="0" applyFont="1" applyFill="1" applyBorder="1" applyAlignment="1">
      <alignment horizontal="center" vertical="center"/>
    </xf>
    <xf numFmtId="0" fontId="19" fillId="16" borderId="23" xfId="0" applyFont="1" applyFill="1" applyBorder="1" applyAlignment="1">
      <alignment horizontal="center" vertical="center"/>
    </xf>
    <xf numFmtId="167" fontId="14" fillId="0" borderId="27" xfId="3" applyNumberFormat="1" applyFont="1" applyBorder="1" applyAlignment="1">
      <alignment horizontal="center" vertical="center" wrapText="1"/>
    </xf>
    <xf numFmtId="167" fontId="14" fillId="0" borderId="6" xfId="3" applyNumberFormat="1" applyFont="1" applyBorder="1" applyAlignment="1">
      <alignment horizontal="center" vertical="center" wrapText="1"/>
    </xf>
    <xf numFmtId="167" fontId="14" fillId="0" borderId="56" xfId="3" applyNumberFormat="1" applyFont="1" applyBorder="1" applyAlignment="1">
      <alignment horizontal="center" vertical="center" wrapText="1"/>
    </xf>
    <xf numFmtId="10" fontId="14" fillId="0" borderId="53" xfId="1" applyNumberFormat="1" applyFont="1" applyBorder="1" applyAlignment="1">
      <alignment horizontal="right" vertical="center"/>
    </xf>
    <xf numFmtId="10" fontId="14" fillId="0" borderId="32" xfId="1" applyNumberFormat="1" applyFont="1" applyBorder="1" applyAlignment="1">
      <alignment horizontal="right" vertical="center"/>
    </xf>
    <xf numFmtId="10" fontId="14" fillId="0" borderId="57" xfId="1" applyNumberFormat="1" applyFont="1" applyBorder="1" applyAlignment="1">
      <alignment horizontal="right" vertical="center"/>
    </xf>
    <xf numFmtId="167" fontId="14" fillId="0" borderId="54" xfId="3" applyNumberFormat="1" applyFont="1" applyBorder="1" applyAlignment="1">
      <alignment horizontal="center" vertical="center" wrapText="1"/>
    </xf>
    <xf numFmtId="10" fontId="14" fillId="0" borderId="55" xfId="1" applyNumberFormat="1" applyFont="1" applyBorder="1" applyAlignment="1">
      <alignment horizontal="right" vertical="center"/>
    </xf>
    <xf numFmtId="0" fontId="19" fillId="17" borderId="18" xfId="0" applyFont="1" applyFill="1" applyBorder="1" applyAlignment="1">
      <alignment horizontal="center" vertical="center" wrapText="1"/>
    </xf>
    <xf numFmtId="0" fontId="19" fillId="17" borderId="19" xfId="0" applyFont="1" applyFill="1" applyBorder="1" applyAlignment="1">
      <alignment horizontal="center" vertical="center" wrapText="1"/>
    </xf>
    <xf numFmtId="0" fontId="19" fillId="17" borderId="20" xfId="0" applyFont="1" applyFill="1" applyBorder="1" applyAlignment="1">
      <alignment horizontal="center" vertical="center" wrapText="1"/>
    </xf>
    <xf numFmtId="0" fontId="16" fillId="18" borderId="31" xfId="0" applyFont="1" applyFill="1" applyBorder="1" applyAlignment="1">
      <alignment horizontal="center" vertical="center" wrapText="1"/>
    </xf>
    <xf numFmtId="0" fontId="16" fillId="18" borderId="23" xfId="0" applyFont="1" applyFill="1" applyBorder="1" applyAlignment="1">
      <alignment horizontal="center" vertical="center" wrapText="1"/>
    </xf>
    <xf numFmtId="0" fontId="19" fillId="15" borderId="31" xfId="0" applyFont="1" applyFill="1" applyBorder="1" applyAlignment="1">
      <alignment horizontal="center" vertical="center" textRotation="90"/>
    </xf>
    <xf numFmtId="0" fontId="19" fillId="15" borderId="21" xfId="0" applyFont="1" applyFill="1" applyBorder="1" applyAlignment="1">
      <alignment horizontal="center" vertical="center" textRotation="90"/>
    </xf>
    <xf numFmtId="0" fontId="19" fillId="15" borderId="23" xfId="0" applyFont="1" applyFill="1" applyBorder="1" applyAlignment="1">
      <alignment horizontal="center" vertical="center" textRotation="90"/>
    </xf>
    <xf numFmtId="0" fontId="19" fillId="16" borderId="31" xfId="0" applyFont="1" applyFill="1" applyBorder="1" applyAlignment="1">
      <alignment horizontal="left" vertical="center"/>
    </xf>
    <xf numFmtId="0" fontId="19" fillId="16" borderId="21" xfId="0" applyFont="1" applyFill="1" applyBorder="1" applyAlignment="1">
      <alignment horizontal="left" vertical="center"/>
    </xf>
    <xf numFmtId="0" fontId="19" fillId="16" borderId="23" xfId="0" applyFont="1" applyFill="1" applyBorder="1" applyAlignment="1">
      <alignment horizontal="left" vertical="center"/>
    </xf>
    <xf numFmtId="0" fontId="15" fillId="0" borderId="3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165" fontId="16" fillId="0" borderId="31" xfId="1" applyNumberFormat="1" applyFont="1" applyBorder="1" applyAlignment="1">
      <alignment horizontal="center" vertical="center"/>
    </xf>
    <xf numFmtId="165" fontId="16" fillId="0" borderId="21" xfId="1" applyNumberFormat="1" applyFont="1" applyBorder="1" applyAlignment="1">
      <alignment horizontal="center" vertical="center"/>
    </xf>
    <xf numFmtId="165" fontId="16" fillId="0" borderId="23" xfId="1" applyNumberFormat="1" applyFont="1" applyBorder="1" applyAlignment="1">
      <alignment horizontal="center" vertical="center"/>
    </xf>
    <xf numFmtId="0" fontId="16" fillId="20" borderId="11" xfId="0" applyFont="1" applyFill="1" applyBorder="1" applyAlignment="1">
      <alignment horizontal="center" vertical="center" wrapText="1"/>
    </xf>
    <xf numFmtId="0" fontId="16" fillId="20" borderId="13" xfId="0" applyFont="1" applyFill="1" applyBorder="1" applyAlignment="1">
      <alignment horizontal="center" vertical="center" wrapText="1"/>
    </xf>
    <xf numFmtId="0" fontId="16" fillId="20" borderId="16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27" borderId="18" xfId="0" applyFont="1" applyFill="1" applyBorder="1" applyAlignment="1">
      <alignment horizontal="center"/>
    </xf>
    <xf numFmtId="0" fontId="8" fillId="27" borderId="19" xfId="0" applyFont="1" applyFill="1" applyBorder="1" applyAlignment="1">
      <alignment horizontal="center"/>
    </xf>
    <xf numFmtId="0" fontId="8" fillId="27" borderId="20" xfId="0" applyFont="1" applyFill="1" applyBorder="1" applyAlignment="1">
      <alignment horizontal="center"/>
    </xf>
    <xf numFmtId="0" fontId="23" fillId="26" borderId="52" xfId="0" applyFont="1" applyFill="1" applyBorder="1" applyAlignment="1">
      <alignment horizontal="center" vertical="center"/>
    </xf>
    <xf numFmtId="0" fontId="23" fillId="26" borderId="27" xfId="0" applyFont="1" applyFill="1" applyBorder="1" applyAlignment="1">
      <alignment horizontal="center" vertical="center"/>
    </xf>
    <xf numFmtId="0" fontId="23" fillId="26" borderId="64" xfId="0" applyFont="1" applyFill="1" applyBorder="1" applyAlignment="1">
      <alignment horizontal="center" vertical="center"/>
    </xf>
    <xf numFmtId="0" fontId="23" fillId="26" borderId="29" xfId="0" applyFont="1" applyFill="1" applyBorder="1" applyAlignment="1">
      <alignment horizontal="center" vertical="center"/>
    </xf>
    <xf numFmtId="0" fontId="23" fillId="26" borderId="6" xfId="0" applyFont="1" applyFill="1" applyBorder="1" applyAlignment="1">
      <alignment horizontal="center" vertical="center"/>
    </xf>
    <xf numFmtId="0" fontId="23" fillId="26" borderId="4" xfId="0" applyFont="1" applyFill="1" applyBorder="1" applyAlignment="1">
      <alignment horizontal="center" vertical="center"/>
    </xf>
    <xf numFmtId="0" fontId="8" fillId="27" borderId="18" xfId="0" applyFont="1" applyFill="1" applyBorder="1" applyAlignment="1">
      <alignment horizontal="center" wrapText="1"/>
    </xf>
    <xf numFmtId="0" fontId="8" fillId="27" borderId="19" xfId="0" applyFont="1" applyFill="1" applyBorder="1" applyAlignment="1">
      <alignment horizontal="center" wrapText="1"/>
    </xf>
    <xf numFmtId="0" fontId="8" fillId="27" borderId="20" xfId="0" applyFont="1" applyFill="1" applyBorder="1" applyAlignment="1">
      <alignment horizontal="center" wrapText="1"/>
    </xf>
  </cellXfs>
  <cellStyles count="9">
    <cellStyle name="Lien hypertexte" xfId="4" builtinId="8" hidden="1"/>
    <cellStyle name="Lien hypertexte" xfId="6" builtinId="8" hidden="1"/>
    <cellStyle name="Lien hypertexte visité" xfId="5" builtinId="9" hidden="1"/>
    <cellStyle name="Lien hypertexte visité" xfId="7" builtinId="9" hidden="1"/>
    <cellStyle name="Milliers" xfId="3" builtinId="3"/>
    <cellStyle name="Normal" xfId="0" builtinId="0"/>
    <cellStyle name="Normal 5" xfId="8" xr:uid="{95108599-B2AA-A945-A1C1-B1C2B9B5DB4A}"/>
    <cellStyle name="Pourcentage" xfId="1" builtinId="5"/>
    <cellStyle name="TableStyleLight1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3CDDD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00"/>
      <color rgb="FFDB6A25"/>
      <color rgb="FFFF3300"/>
      <color rgb="FFEAC770"/>
      <color rgb="FFC01818"/>
      <color rgb="FFCC99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zahaji/Desktop/Hamza%2020.08.2019/WARA/2019/CBI%20CI/production%20analytique/post%20revue%20boss/B12-CBI%20CI%20Spreads%20au%2031-12-2018%20-%20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FF"/>
  </sheetPr>
  <dimension ref="C4:E10"/>
  <sheetViews>
    <sheetView workbookViewId="0">
      <selection activeCell="C4" sqref="C4:E10"/>
    </sheetView>
  </sheetViews>
  <sheetFormatPr baseColWidth="10" defaultRowHeight="15" x14ac:dyDescent="0.25"/>
  <cols>
    <col min="3" max="3" width="18.28515625" bestFit="1" customWidth="1"/>
    <col min="4" max="4" width="32.140625" customWidth="1"/>
    <col min="5" max="5" width="16" customWidth="1"/>
  </cols>
  <sheetData>
    <row r="4" spans="3:5" ht="30" customHeight="1" x14ac:dyDescent="0.25">
      <c r="C4" s="300" t="s">
        <v>193</v>
      </c>
      <c r="D4" s="300"/>
      <c r="E4" s="300"/>
    </row>
    <row r="5" spans="3:5" ht="15.75" x14ac:dyDescent="0.25">
      <c r="C5" s="258" t="s">
        <v>180</v>
      </c>
      <c r="D5" s="258" t="s">
        <v>181</v>
      </c>
      <c r="E5" s="259" t="s">
        <v>182</v>
      </c>
    </row>
    <row r="6" spans="3:5" ht="41.1" customHeight="1" x14ac:dyDescent="0.25">
      <c r="C6" s="255" t="s">
        <v>183</v>
      </c>
      <c r="D6" s="256" t="s">
        <v>184</v>
      </c>
      <c r="E6" s="257" t="s">
        <v>185</v>
      </c>
    </row>
    <row r="7" spans="3:5" x14ac:dyDescent="0.25">
      <c r="C7" s="255" t="s">
        <v>186</v>
      </c>
      <c r="D7" s="256" t="s">
        <v>187</v>
      </c>
      <c r="E7" s="257" t="s">
        <v>188</v>
      </c>
    </row>
    <row r="8" spans="3:5" x14ac:dyDescent="0.25">
      <c r="C8" s="255" t="s">
        <v>189</v>
      </c>
      <c r="D8" s="256" t="s">
        <v>190</v>
      </c>
      <c r="E8" s="257" t="s">
        <v>188</v>
      </c>
    </row>
    <row r="9" spans="3:5" x14ac:dyDescent="0.25">
      <c r="C9" s="255" t="s">
        <v>191</v>
      </c>
      <c r="D9" s="256" t="s">
        <v>187</v>
      </c>
      <c r="E9" s="257" t="s">
        <v>188</v>
      </c>
    </row>
    <row r="10" spans="3:5" x14ac:dyDescent="0.25">
      <c r="C10" s="255" t="s">
        <v>192</v>
      </c>
      <c r="D10" s="256" t="s">
        <v>187</v>
      </c>
      <c r="E10" s="257" t="s">
        <v>188</v>
      </c>
    </row>
  </sheetData>
  <mergeCells count="1">
    <mergeCell ref="C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FF"/>
  </sheetPr>
  <dimension ref="A1:AMJ29"/>
  <sheetViews>
    <sheetView zoomScale="90" zoomScaleNormal="90" workbookViewId="0">
      <selection activeCell="C7" sqref="C7"/>
    </sheetView>
  </sheetViews>
  <sheetFormatPr baseColWidth="10" defaultColWidth="9.140625" defaultRowHeight="15" x14ac:dyDescent="0.25"/>
  <cols>
    <col min="1" max="1024" width="9.140625" style="1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2" customFormat="1" x14ac:dyDescent="0.25">
      <c r="B2" s="8"/>
      <c r="C2" s="2">
        <v>2011</v>
      </c>
      <c r="D2" s="2">
        <v>2012</v>
      </c>
      <c r="E2" s="2">
        <v>2013</v>
      </c>
      <c r="F2" s="2">
        <v>2014</v>
      </c>
      <c r="G2" s="2">
        <v>2015</v>
      </c>
      <c r="H2" s="2">
        <v>2016</v>
      </c>
      <c r="I2" s="2">
        <v>2017</v>
      </c>
      <c r="J2" s="2">
        <v>2018</v>
      </c>
      <c r="K2" s="2">
        <v>2019</v>
      </c>
      <c r="L2" s="2">
        <v>2020</v>
      </c>
      <c r="M2" s="2">
        <v>2021</v>
      </c>
      <c r="N2" s="2">
        <v>2022</v>
      </c>
      <c r="O2" s="2">
        <v>2023</v>
      </c>
      <c r="P2" s="2">
        <v>2024</v>
      </c>
      <c r="Q2" s="2">
        <v>2025</v>
      </c>
      <c r="R2" s="2">
        <v>2026</v>
      </c>
      <c r="S2" s="2">
        <v>2027</v>
      </c>
      <c r="T2" s="2">
        <v>2028</v>
      </c>
      <c r="U2" s="2">
        <v>2029</v>
      </c>
      <c r="V2" s="2">
        <v>2030</v>
      </c>
      <c r="W2" s="2">
        <v>2031</v>
      </c>
      <c r="X2" s="2">
        <v>2032</v>
      </c>
      <c r="Y2" s="2">
        <v>2033</v>
      </c>
      <c r="Z2" s="2">
        <v>2034</v>
      </c>
      <c r="AA2" s="2">
        <v>2035</v>
      </c>
      <c r="AB2" s="2">
        <v>2036</v>
      </c>
      <c r="AC2" s="2">
        <v>2037</v>
      </c>
      <c r="AD2" s="2">
        <v>2038</v>
      </c>
      <c r="AE2" s="2">
        <v>2039</v>
      </c>
      <c r="AF2" s="2">
        <v>2040</v>
      </c>
      <c r="AG2" s="2">
        <v>2041</v>
      </c>
      <c r="AH2" s="2">
        <v>2042</v>
      </c>
      <c r="AI2" s="2">
        <v>2043</v>
      </c>
    </row>
    <row r="3" spans="1:1024" s="3" customFormat="1" x14ac:dyDescent="0.25">
      <c r="B3" s="9"/>
      <c r="C3" s="4" t="s">
        <v>0</v>
      </c>
      <c r="D3" s="4" t="s">
        <v>0</v>
      </c>
      <c r="E3" s="4" t="s">
        <v>0</v>
      </c>
      <c r="F3" s="4" t="s">
        <v>36</v>
      </c>
      <c r="G3" s="4" t="s">
        <v>36</v>
      </c>
      <c r="H3" s="4" t="s">
        <v>36</v>
      </c>
      <c r="I3" s="4" t="s">
        <v>36</v>
      </c>
      <c r="J3" s="4" t="s">
        <v>36</v>
      </c>
      <c r="K3" s="4" t="s">
        <v>36</v>
      </c>
      <c r="L3" s="4" t="s">
        <v>36</v>
      </c>
      <c r="M3" s="4" t="s">
        <v>36</v>
      </c>
      <c r="N3" s="4" t="s">
        <v>36</v>
      </c>
      <c r="O3" s="4" t="s">
        <v>36</v>
      </c>
      <c r="P3" s="4" t="s">
        <v>36</v>
      </c>
      <c r="Q3" s="4" t="s">
        <v>36</v>
      </c>
      <c r="R3" s="4" t="s">
        <v>36</v>
      </c>
      <c r="S3" s="4" t="s">
        <v>36</v>
      </c>
      <c r="T3" s="4" t="s">
        <v>36</v>
      </c>
      <c r="U3" s="4" t="s">
        <v>36</v>
      </c>
      <c r="V3" s="4" t="s">
        <v>36</v>
      </c>
      <c r="W3" s="4" t="s">
        <v>36</v>
      </c>
      <c r="X3" s="4" t="s">
        <v>36</v>
      </c>
      <c r="Y3" s="4" t="s">
        <v>36</v>
      </c>
      <c r="Z3" s="4" t="s">
        <v>36</v>
      </c>
      <c r="AA3" s="4" t="s">
        <v>36</v>
      </c>
      <c r="AB3" s="4" t="s">
        <v>36</v>
      </c>
      <c r="AC3" s="4" t="s">
        <v>36</v>
      </c>
      <c r="AD3" s="4" t="s">
        <v>36</v>
      </c>
      <c r="AE3" s="4" t="s">
        <v>36</v>
      </c>
      <c r="AF3" s="4" t="s">
        <v>36</v>
      </c>
      <c r="AG3" s="4" t="s">
        <v>36</v>
      </c>
      <c r="AH3" s="4" t="s">
        <v>36</v>
      </c>
      <c r="AI3" s="4" t="s">
        <v>36</v>
      </c>
    </row>
    <row r="4" spans="1:1024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1024" x14ac:dyDescent="0.25">
      <c r="B5" s="10" t="s">
        <v>37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1024" x14ac:dyDescent="0.25">
      <c r="B6" s="1" t="s">
        <v>38</v>
      </c>
      <c r="C6" s="7">
        <v>152630.22337394001</v>
      </c>
      <c r="D6" s="7">
        <v>157801.78549241301</v>
      </c>
      <c r="E6" s="7">
        <v>157650.75941479299</v>
      </c>
      <c r="F6" s="7">
        <v>169470.48034565299</v>
      </c>
      <c r="G6" s="7">
        <v>174696.705366543</v>
      </c>
      <c r="H6" s="7">
        <v>177269.582266032</v>
      </c>
      <c r="I6" s="7">
        <v>184221.97702530399</v>
      </c>
      <c r="J6" s="7">
        <v>196384.704777323</v>
      </c>
      <c r="K6" s="7">
        <v>201178.88544371599</v>
      </c>
      <c r="L6" s="7">
        <v>203937.09793083699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1024" x14ac:dyDescent="0.25">
      <c r="B7" s="1" t="s">
        <v>39</v>
      </c>
      <c r="C7" s="7">
        <v>36484.004373939897</v>
      </c>
      <c r="D7" s="7">
        <v>34646.872388999996</v>
      </c>
      <c r="E7" s="7">
        <v>39047.287482029802</v>
      </c>
      <c r="F7" s="7">
        <v>42720.454111515901</v>
      </c>
      <c r="G7" s="7">
        <v>44222.530752200699</v>
      </c>
      <c r="H7" s="7">
        <v>44829.321051319603</v>
      </c>
      <c r="I7" s="7">
        <v>46924.880068105398</v>
      </c>
      <c r="J7" s="7">
        <v>52706.231545602597</v>
      </c>
      <c r="K7" s="7">
        <v>54595.838477830897</v>
      </c>
      <c r="L7" s="7">
        <v>54598.603230686997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1024" x14ac:dyDescent="0.25">
      <c r="B8" s="1" t="s">
        <v>40</v>
      </c>
      <c r="C8" s="12">
        <f t="shared" ref="C8:L8" si="0">C7/C6</f>
        <v>0.239035255059249</v>
      </c>
      <c r="D8" s="12">
        <f t="shared" si="0"/>
        <v>0.21955944465955229</v>
      </c>
      <c r="E8" s="12">
        <f t="shared" si="0"/>
        <v>0.24768220354266077</v>
      </c>
      <c r="F8" s="12">
        <f t="shared" si="0"/>
        <v>0.2520819792590604</v>
      </c>
      <c r="G8" s="12">
        <f t="shared" si="0"/>
        <v>0.25313889382982013</v>
      </c>
      <c r="H8" s="12">
        <f t="shared" si="0"/>
        <v>0.25288783601939868</v>
      </c>
      <c r="I8" s="12">
        <f t="shared" si="0"/>
        <v>0.25471922962622418</v>
      </c>
      <c r="J8" s="12">
        <f t="shared" si="0"/>
        <v>0.26838256882258332</v>
      </c>
      <c r="K8" s="12">
        <f t="shared" si="0"/>
        <v>0.27137956529292545</v>
      </c>
      <c r="L8" s="12">
        <f t="shared" si="0"/>
        <v>0.2677227624823979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1024" x14ac:dyDescent="0.25">
      <c r="B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1024" x14ac:dyDescent="0.25">
      <c r="B10" s="10" t="s">
        <v>41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1024" x14ac:dyDescent="0.25">
      <c r="B11" s="1" t="s">
        <v>38</v>
      </c>
      <c r="C11" s="7">
        <v>222080.45277639999</v>
      </c>
      <c r="D11" s="7">
        <v>274929.63241646398</v>
      </c>
      <c r="E11" s="7">
        <v>264329.97576696199</v>
      </c>
      <c r="F11" s="7">
        <v>294272.50175318099</v>
      </c>
      <c r="G11" s="7">
        <v>321574.65698076301</v>
      </c>
      <c r="H11" s="7">
        <v>340463.46789713303</v>
      </c>
      <c r="I11" s="7">
        <v>350527.35334735399</v>
      </c>
      <c r="J11" s="7">
        <v>360524.87820085499</v>
      </c>
      <c r="K11" s="7">
        <v>360524.87820085499</v>
      </c>
      <c r="L11" s="7">
        <v>360524.87820085499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1024" x14ac:dyDescent="0.25">
      <c r="B12" s="1" t="s">
        <v>39</v>
      </c>
      <c r="C12" s="7">
        <v>-1813.54927900041</v>
      </c>
      <c r="D12" s="7">
        <v>16334.16245</v>
      </c>
      <c r="E12" s="7">
        <v>21161.200225153199</v>
      </c>
      <c r="F12" s="7">
        <v>18807.181702325601</v>
      </c>
      <c r="G12" s="7">
        <v>20256.3137476624</v>
      </c>
      <c r="H12" s="7">
        <v>21206.5777381097</v>
      </c>
      <c r="I12" s="7">
        <v>22939.764590126299</v>
      </c>
      <c r="J12" s="7">
        <v>25136.064812803499</v>
      </c>
      <c r="K12" s="7">
        <v>25136.064812803499</v>
      </c>
      <c r="L12" s="7">
        <v>25136.064812803499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1024" x14ac:dyDescent="0.25">
      <c r="B13" s="1" t="s">
        <v>40</v>
      </c>
      <c r="C13" s="12">
        <f t="shared" ref="C13:L13" si="1">C12/C11</f>
        <v>-8.1661814731005082E-3</v>
      </c>
      <c r="D13" s="12">
        <f t="shared" si="1"/>
        <v>5.9412156872406453E-2</v>
      </c>
      <c r="E13" s="12">
        <f t="shared" si="1"/>
        <v>8.0055998808887613E-2</v>
      </c>
      <c r="F13" s="12">
        <f t="shared" si="1"/>
        <v>6.3910768387390793E-2</v>
      </c>
      <c r="G13" s="12">
        <f t="shared" si="1"/>
        <v>6.2991014086269115E-2</v>
      </c>
      <c r="H13" s="12">
        <f t="shared" si="1"/>
        <v>6.2287380990071493E-2</v>
      </c>
      <c r="I13" s="12">
        <f t="shared" si="1"/>
        <v>6.5443579141723107E-2</v>
      </c>
      <c r="J13" s="12">
        <f t="shared" si="1"/>
        <v>6.9720749753085662E-2</v>
      </c>
      <c r="K13" s="12">
        <f t="shared" si="1"/>
        <v>6.9720749753085662E-2</v>
      </c>
      <c r="L13" s="12">
        <f t="shared" si="1"/>
        <v>6.9720749753085662E-2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1024" x14ac:dyDescent="0.25">
      <c r="B1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1024" x14ac:dyDescent="0.25">
      <c r="B15" s="10" t="s">
        <v>42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1024" x14ac:dyDescent="0.25">
      <c r="B16" s="1" t="s">
        <v>38</v>
      </c>
      <c r="C16" s="7">
        <v>35195.463260999997</v>
      </c>
      <c r="D16" s="7">
        <v>46916.333899999998</v>
      </c>
      <c r="E16" s="7">
        <v>47857.234799999998</v>
      </c>
      <c r="F16" s="7">
        <v>50727.5723147436</v>
      </c>
      <c r="G16" s="7">
        <v>51763.804153413097</v>
      </c>
      <c r="H16" s="7">
        <v>52872.635841664502</v>
      </c>
      <c r="I16" s="7">
        <v>53055.287093348801</v>
      </c>
      <c r="J16" s="7">
        <v>53805.330085838701</v>
      </c>
      <c r="K16" s="7">
        <v>53805.336136815502</v>
      </c>
      <c r="L16" s="7">
        <v>53795.274261021201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2:35" x14ac:dyDescent="0.25">
      <c r="B17" s="1" t="s">
        <v>39</v>
      </c>
      <c r="C17" s="7">
        <v>7588.2697830000097</v>
      </c>
      <c r="D17" s="7">
        <v>8179.8507791705997</v>
      </c>
      <c r="E17" s="7">
        <v>11112.8532269195</v>
      </c>
      <c r="F17" s="7">
        <v>11832.3022185436</v>
      </c>
      <c r="G17" s="7">
        <v>11996.204638446899</v>
      </c>
      <c r="H17" s="7">
        <v>12529.3212163032</v>
      </c>
      <c r="I17" s="7">
        <v>12105.857209047301</v>
      </c>
      <c r="J17" s="7">
        <v>12902.126574883099</v>
      </c>
      <c r="K17" s="7">
        <v>14795.0627320328</v>
      </c>
      <c r="L17" s="7">
        <v>15129.1821266555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5" x14ac:dyDescent="0.25">
      <c r="B18" s="1" t="s">
        <v>40</v>
      </c>
      <c r="C18" s="12">
        <f t="shared" ref="C18:L18" si="2">C17/C16</f>
        <v>0.21560363410270983</v>
      </c>
      <c r="D18" s="12">
        <f t="shared" si="2"/>
        <v>0.17434974345194096</v>
      </c>
      <c r="E18" s="12">
        <f t="shared" si="2"/>
        <v>0.23220842728087376</v>
      </c>
      <c r="F18" s="12">
        <f t="shared" si="2"/>
        <v>0.23325189199138213</v>
      </c>
      <c r="G18" s="12">
        <f t="shared" si="2"/>
        <v>0.23174889934467688</v>
      </c>
      <c r="H18" s="12">
        <f t="shared" si="2"/>
        <v>0.23697175328697895</v>
      </c>
      <c r="I18" s="12">
        <f t="shared" si="2"/>
        <v>0.22817437944963895</v>
      </c>
      <c r="J18" s="12">
        <f t="shared" si="2"/>
        <v>0.23979272228791465</v>
      </c>
      <c r="K18" s="12">
        <f t="shared" si="2"/>
        <v>0.27497389282007473</v>
      </c>
      <c r="L18" s="12">
        <f t="shared" si="2"/>
        <v>0.28123626720902789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2:35" x14ac:dyDescent="0.25">
      <c r="B1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2:35" x14ac:dyDescent="0.25">
      <c r="B20" s="10" t="s">
        <v>43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2:35" x14ac:dyDescent="0.25">
      <c r="B21" s="1" t="s">
        <v>38</v>
      </c>
      <c r="C21" s="7">
        <v>408528.46299999999</v>
      </c>
      <c r="D21" s="7">
        <v>404456.48800000001</v>
      </c>
      <c r="E21" s="7">
        <v>348542.21423768502</v>
      </c>
      <c r="F21" s="7">
        <v>451976.62660954898</v>
      </c>
      <c r="G21" s="7">
        <v>478524.38222840702</v>
      </c>
      <c r="H21" s="7">
        <v>520811.63373222202</v>
      </c>
      <c r="I21" s="7">
        <v>538318.34307168797</v>
      </c>
      <c r="J21" s="7">
        <v>563391.01426963694</v>
      </c>
      <c r="K21" s="7">
        <v>587893.67999739898</v>
      </c>
      <c r="L21" s="7">
        <v>623492.59032724798</v>
      </c>
      <c r="M21" s="7">
        <v>661068.84378481202</v>
      </c>
      <c r="N21" s="7">
        <v>687148.34474965604</v>
      </c>
      <c r="O21" s="7">
        <v>734535.90180483996</v>
      </c>
      <c r="P21" s="7">
        <v>783245.44889714499</v>
      </c>
      <c r="Q21" s="7">
        <v>810687.56819712895</v>
      </c>
      <c r="R21" s="7">
        <v>859259.91944779898</v>
      </c>
      <c r="S21" s="7">
        <v>908760.18950217206</v>
      </c>
      <c r="T21" s="7">
        <v>956605.02509720996</v>
      </c>
      <c r="U21" s="7">
        <v>1010099.69022933</v>
      </c>
      <c r="V21" s="7">
        <v>1061621.40670837</v>
      </c>
      <c r="W21" s="7">
        <v>1111031.6167400701</v>
      </c>
      <c r="X21" s="7">
        <v>1163949.8177861299</v>
      </c>
      <c r="Y21" s="7">
        <v>1215934.20841379</v>
      </c>
      <c r="Z21" s="7">
        <v>1264501.9126965599</v>
      </c>
      <c r="AA21" s="7">
        <v>1302978.3557526199</v>
      </c>
      <c r="AB21" s="7">
        <v>1341017.6338186399</v>
      </c>
      <c r="AC21" s="7">
        <v>1378966.5518811999</v>
      </c>
      <c r="AD21" s="7">
        <v>1408374.654932</v>
      </c>
      <c r="AE21" s="7">
        <v>1460775.1284101601</v>
      </c>
      <c r="AF21" s="7">
        <v>1500033.0703513201</v>
      </c>
      <c r="AG21" s="7">
        <v>1532884.8477622001</v>
      </c>
      <c r="AH21" s="7">
        <v>1582346.65584064</v>
      </c>
      <c r="AI21" s="7">
        <v>1604044.9855063199</v>
      </c>
    </row>
    <row r="22" spans="2:35" x14ac:dyDescent="0.25">
      <c r="B22" s="1" t="s">
        <v>39</v>
      </c>
      <c r="C22" s="7">
        <v>5690.0909999999503</v>
      </c>
      <c r="D22" s="7">
        <v>4859.9967500000002</v>
      </c>
      <c r="E22" s="7">
        <v>3394.31295945189</v>
      </c>
      <c r="F22" s="7">
        <v>4356.4115120327997</v>
      </c>
      <c r="G22" s="7">
        <v>5392.7356074890204</v>
      </c>
      <c r="H22" s="7">
        <v>6913.97689268873</v>
      </c>
      <c r="I22" s="7">
        <v>6895.8490483794503</v>
      </c>
      <c r="J22" s="7">
        <v>7686.2196993482703</v>
      </c>
      <c r="K22" s="7">
        <v>8476.4541688604004</v>
      </c>
      <c r="L22" s="7">
        <v>9538.9524158901004</v>
      </c>
      <c r="M22" s="7">
        <v>10607.155312982401</v>
      </c>
      <c r="N22" s="7">
        <v>11217.2429847196</v>
      </c>
      <c r="O22" s="7">
        <v>12526.4701025175</v>
      </c>
      <c r="P22" s="7">
        <v>13919.747193319599</v>
      </c>
      <c r="Q22" s="7">
        <v>15178.2637488488</v>
      </c>
      <c r="R22" s="7">
        <v>16574.849343038601</v>
      </c>
      <c r="S22" s="7">
        <v>17960.093710301</v>
      </c>
      <c r="T22" s="7">
        <v>19323.5024943834</v>
      </c>
      <c r="U22" s="7">
        <v>20810.318828334799</v>
      </c>
      <c r="V22" s="7">
        <v>22176.1899567822</v>
      </c>
      <c r="W22" s="7">
        <v>23505.053427966501</v>
      </c>
      <c r="X22" s="7">
        <v>24953.144213356201</v>
      </c>
      <c r="Y22" s="7">
        <v>26382.235714929298</v>
      </c>
      <c r="Z22" s="7">
        <v>27787.581979237399</v>
      </c>
      <c r="AA22" s="7">
        <v>28859.693247546598</v>
      </c>
      <c r="AB22" s="7">
        <v>29907.890465768502</v>
      </c>
      <c r="AC22" s="7">
        <v>30927.968394681699</v>
      </c>
      <c r="AD22" s="7">
        <v>31643.517525203901</v>
      </c>
      <c r="AE22" s="7">
        <v>33212.789859591598</v>
      </c>
      <c r="AF22" s="7">
        <v>34253.041304772101</v>
      </c>
      <c r="AG22" s="7">
        <v>35058.723052506997</v>
      </c>
      <c r="AH22" s="7">
        <v>36494.091273994098</v>
      </c>
      <c r="AI22" s="7">
        <v>36873.841939735597</v>
      </c>
    </row>
    <row r="23" spans="2:35" x14ac:dyDescent="0.25">
      <c r="B23" s="1" t="s">
        <v>40</v>
      </c>
      <c r="C23" s="12">
        <f t="shared" ref="C23:AI23" si="3">C22/C21</f>
        <v>1.392826085657574E-2</v>
      </c>
      <c r="D23" s="12">
        <f t="shared" si="3"/>
        <v>1.2016117664553325E-2</v>
      </c>
      <c r="E23" s="12">
        <f t="shared" si="3"/>
        <v>9.7385992881113981E-3</v>
      </c>
      <c r="F23" s="12">
        <f t="shared" si="3"/>
        <v>9.6385769872922925E-3</v>
      </c>
      <c r="G23" s="12">
        <f t="shared" si="3"/>
        <v>1.1269510620077422E-2</v>
      </c>
      <c r="H23" s="12">
        <f t="shared" si="3"/>
        <v>1.3275388729591218E-2</v>
      </c>
      <c r="I23" s="12">
        <f t="shared" si="3"/>
        <v>1.2809983418048098E-2</v>
      </c>
      <c r="J23" s="12">
        <f t="shared" si="3"/>
        <v>1.3642780066899812E-2</v>
      </c>
      <c r="K23" s="12">
        <f t="shared" si="3"/>
        <v>1.4418345454739202E-2</v>
      </c>
      <c r="L23" s="12">
        <f t="shared" si="3"/>
        <v>1.5299223381120632E-2</v>
      </c>
      <c r="M23" s="12">
        <f t="shared" si="3"/>
        <v>1.6045462454792669E-2</v>
      </c>
      <c r="N23" s="12">
        <f t="shared" si="3"/>
        <v>1.6324339671961664E-2</v>
      </c>
      <c r="O23" s="12">
        <f t="shared" si="3"/>
        <v>1.7053584544660799E-2</v>
      </c>
      <c r="P23" s="12">
        <f t="shared" si="3"/>
        <v>1.7771883913171038E-2</v>
      </c>
      <c r="Q23" s="12">
        <f t="shared" si="3"/>
        <v>1.8722704460120712E-2</v>
      </c>
      <c r="R23" s="12">
        <f t="shared" si="3"/>
        <v>1.9289680535419809E-2</v>
      </c>
      <c r="S23" s="12">
        <f t="shared" si="3"/>
        <v>1.9763292800204772E-2</v>
      </c>
      <c r="T23" s="12">
        <f t="shared" si="3"/>
        <v>2.0200084661294509E-2</v>
      </c>
      <c r="U23" s="12">
        <f t="shared" si="3"/>
        <v>2.0602242560444788E-2</v>
      </c>
      <c r="V23" s="12">
        <f t="shared" si="3"/>
        <v>2.0888981530186923E-2</v>
      </c>
      <c r="W23" s="12">
        <f t="shared" si="3"/>
        <v>2.115606169420613E-2</v>
      </c>
      <c r="X23" s="12">
        <f t="shared" si="3"/>
        <v>2.1438333364592888E-2</v>
      </c>
      <c r="Y23" s="12">
        <f t="shared" si="3"/>
        <v>2.1697091448184061E-2</v>
      </c>
      <c r="Z23" s="12">
        <f t="shared" si="3"/>
        <v>2.197512055950961E-2</v>
      </c>
      <c r="AA23" s="12">
        <f t="shared" si="3"/>
        <v>2.2149019682584679E-2</v>
      </c>
      <c r="AB23" s="12">
        <f t="shared" si="3"/>
        <v>2.2302384183124965E-2</v>
      </c>
      <c r="AC23" s="12">
        <f t="shared" si="3"/>
        <v>2.2428367354153336E-2</v>
      </c>
      <c r="AD23" s="12">
        <f t="shared" si="3"/>
        <v>2.2468110608488429E-2</v>
      </c>
      <c r="AE23" s="12">
        <f t="shared" si="3"/>
        <v>2.2736415217952718E-2</v>
      </c>
      <c r="AF23" s="12">
        <f t="shared" si="3"/>
        <v>2.2834857432009654E-2</v>
      </c>
      <c r="AG23" s="12">
        <f t="shared" si="3"/>
        <v>2.2871074173437023E-2</v>
      </c>
      <c r="AH23" s="12">
        <f t="shared" si="3"/>
        <v>2.3063271969697558E-2</v>
      </c>
      <c r="AI23" s="12">
        <f t="shared" si="3"/>
        <v>2.2988034795106634E-2</v>
      </c>
    </row>
    <row r="24" spans="2:35" x14ac:dyDescent="0.25">
      <c r="B2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2:35" x14ac:dyDescent="0.25">
      <c r="B25" s="10" t="s">
        <v>44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2:35" x14ac:dyDescent="0.25">
      <c r="B26" s="1" t="s">
        <v>38</v>
      </c>
      <c r="C26" s="7">
        <v>296588.10736222001</v>
      </c>
      <c r="D26" s="7">
        <v>263679.30658716999</v>
      </c>
      <c r="E26" s="7">
        <v>249395.610566788</v>
      </c>
      <c r="F26" s="7">
        <v>323916.26068381697</v>
      </c>
      <c r="G26" s="7">
        <v>344047.46595454903</v>
      </c>
      <c r="H26" s="7">
        <v>378076.322531924</v>
      </c>
      <c r="I26" s="7">
        <v>392704.767044348</v>
      </c>
      <c r="J26" s="7">
        <v>404983.76965968899</v>
      </c>
      <c r="K26" s="7">
        <v>418511.14706930699</v>
      </c>
      <c r="L26" s="7">
        <v>434041.45803004899</v>
      </c>
      <c r="M26" s="7">
        <v>453625.96925898897</v>
      </c>
      <c r="N26" s="7">
        <v>475776.867049505</v>
      </c>
      <c r="O26" s="7">
        <v>498825.87282436102</v>
      </c>
      <c r="P26" s="7">
        <v>523407.704975206</v>
      </c>
      <c r="Q26" s="7">
        <v>531191.60948404903</v>
      </c>
      <c r="R26" s="7">
        <v>556951.64914478804</v>
      </c>
      <c r="S26" s="7">
        <v>584480.89379644406</v>
      </c>
      <c r="T26" s="7">
        <v>613899.23601954302</v>
      </c>
      <c r="U26" s="7">
        <v>646422.71183092205</v>
      </c>
      <c r="V26" s="7">
        <v>679744.34226728405</v>
      </c>
      <c r="W26" s="7">
        <v>713613.90741565695</v>
      </c>
      <c r="X26" s="7">
        <v>747759.63523748901</v>
      </c>
      <c r="Y26" s="7">
        <v>782632.14188957796</v>
      </c>
      <c r="Z26" s="7">
        <v>817387.42052707402</v>
      </c>
      <c r="AA26" s="7">
        <v>852108.79051789502</v>
      </c>
      <c r="AB26" s="7">
        <v>887477.91631905001</v>
      </c>
      <c r="AC26" s="7">
        <v>924117.29624388705</v>
      </c>
      <c r="AD26" s="7">
        <v>961901.60030815704</v>
      </c>
      <c r="AE26" s="7">
        <v>1001117.15614457</v>
      </c>
      <c r="AF26" s="7">
        <v>1041132.3827763</v>
      </c>
      <c r="AG26" s="7">
        <v>1082642.55150567</v>
      </c>
      <c r="AH26" s="7">
        <v>1126032.3494407099</v>
      </c>
      <c r="AI26" s="7">
        <v>1171775.6998793799</v>
      </c>
    </row>
    <row r="27" spans="2:35" x14ac:dyDescent="0.25">
      <c r="B27" s="1" t="s">
        <v>45</v>
      </c>
      <c r="C27" s="7">
        <v>94766.299365659594</v>
      </c>
      <c r="D27" s="7">
        <v>46327.9537347722</v>
      </c>
      <c r="E27" s="7">
        <v>40782.052257500203</v>
      </c>
      <c r="F27" s="7">
        <v>72308.889324878997</v>
      </c>
      <c r="G27" s="7">
        <v>64085.998535900297</v>
      </c>
      <c r="H27" s="7">
        <v>62999.639956606501</v>
      </c>
      <c r="I27" s="7">
        <v>60511.921823853299</v>
      </c>
      <c r="J27" s="7">
        <v>58244.3583915048</v>
      </c>
      <c r="K27" s="7">
        <v>56796.411288668998</v>
      </c>
      <c r="L27" s="7">
        <v>56330.519881408203</v>
      </c>
      <c r="M27" s="7">
        <v>58739.27320625</v>
      </c>
      <c r="N27" s="7">
        <v>62638.708719594099</v>
      </c>
      <c r="O27" s="7">
        <v>66677.320250712495</v>
      </c>
      <c r="P27" s="7">
        <v>71263.630653222004</v>
      </c>
      <c r="Q27" s="7">
        <v>68415.988639320494</v>
      </c>
      <c r="R27" s="7">
        <v>74693.127258415305</v>
      </c>
      <c r="S27" s="7">
        <v>80156.833080278404</v>
      </c>
      <c r="T27" s="7">
        <v>86036.413576668303</v>
      </c>
      <c r="U27" s="7">
        <v>93349.366556629699</v>
      </c>
      <c r="V27" s="7">
        <v>100479.32243242901</v>
      </c>
      <c r="W27" s="7">
        <v>107223.812237174</v>
      </c>
      <c r="X27" s="7">
        <v>113300.81128150799</v>
      </c>
      <c r="Y27" s="7">
        <v>118987.32949900901</v>
      </c>
      <c r="Z27" s="7">
        <v>123679.018080134</v>
      </c>
      <c r="AA27" s="7">
        <v>127368.323266092</v>
      </c>
      <c r="AB27" s="7">
        <v>130465.75919078699</v>
      </c>
      <c r="AC27" s="7">
        <v>133355.829590359</v>
      </c>
      <c r="AD27" s="7">
        <v>135898.65438764801</v>
      </c>
      <c r="AE27" s="7">
        <v>138249.69641959001</v>
      </c>
      <c r="AF27" s="7">
        <v>139947.49912532599</v>
      </c>
      <c r="AG27" s="7">
        <v>141351.89427045401</v>
      </c>
      <c r="AH27" s="7">
        <v>142682.16411786701</v>
      </c>
      <c r="AI27" s="7">
        <v>144203.58153205999</v>
      </c>
    </row>
    <row r="28" spans="2:35" x14ac:dyDescent="0.25">
      <c r="B28" s="1" t="s">
        <v>40</v>
      </c>
      <c r="C28" s="12">
        <f t="shared" ref="C28:AI28" si="4">C27/C26</f>
        <v>0.31952157559009098</v>
      </c>
      <c r="D28" s="12">
        <f t="shared" si="4"/>
        <v>0.17569810211654435</v>
      </c>
      <c r="E28" s="12">
        <f t="shared" si="4"/>
        <v>0.16352353662046026</v>
      </c>
      <c r="F28" s="12">
        <f t="shared" si="4"/>
        <v>0.22323328002190532</v>
      </c>
      <c r="G28" s="12">
        <f t="shared" si="4"/>
        <v>0.18627080527419576</v>
      </c>
      <c r="H28" s="12">
        <f t="shared" si="4"/>
        <v>0.16663206924651289</v>
      </c>
      <c r="I28" s="12">
        <f t="shared" si="4"/>
        <v>0.15409011273097104</v>
      </c>
      <c r="J28" s="12">
        <f t="shared" si="4"/>
        <v>0.14381899413017957</v>
      </c>
      <c r="K28" s="12">
        <f t="shared" si="4"/>
        <v>0.13571062966039302</v>
      </c>
      <c r="L28" s="12">
        <f t="shared" si="4"/>
        <v>0.12978142718686655</v>
      </c>
      <c r="M28" s="12">
        <f t="shared" si="4"/>
        <v>0.12948833882284624</v>
      </c>
      <c r="N28" s="12">
        <f t="shared" si="4"/>
        <v>0.1316556416625369</v>
      </c>
      <c r="O28" s="12">
        <f t="shared" si="4"/>
        <v>0.13366852820440991</v>
      </c>
      <c r="P28" s="12">
        <f t="shared" si="4"/>
        <v>0.13615319372609883</v>
      </c>
      <c r="Q28" s="12">
        <f t="shared" si="4"/>
        <v>0.12879719373913592</v>
      </c>
      <c r="R28" s="12">
        <f t="shared" si="4"/>
        <v>0.13411061332363106</v>
      </c>
      <c r="S28" s="12">
        <f t="shared" si="4"/>
        <v>0.13714192188495122</v>
      </c>
      <c r="T28" s="12">
        <f t="shared" si="4"/>
        <v>0.14014745177811136</v>
      </c>
      <c r="U28" s="12">
        <f t="shared" si="4"/>
        <v>0.14440916887376645</v>
      </c>
      <c r="V28" s="12">
        <f t="shared" si="4"/>
        <v>0.14781928466999916</v>
      </c>
      <c r="W28" s="12">
        <f t="shared" si="4"/>
        <v>0.15025465608634728</v>
      </c>
      <c r="X28" s="12">
        <f t="shared" si="4"/>
        <v>0.15152036288442283</v>
      </c>
      <c r="Y28" s="12">
        <f t="shared" si="4"/>
        <v>0.15203481064772956</v>
      </c>
      <c r="Z28" s="12">
        <f t="shared" si="4"/>
        <v>0.15131015596053871</v>
      </c>
      <c r="AA28" s="12">
        <f t="shared" si="4"/>
        <v>0.14947425103862622</v>
      </c>
      <c r="AB28" s="12">
        <f t="shared" si="4"/>
        <v>0.14700733031410362</v>
      </c>
      <c r="AC28" s="12">
        <f t="shared" si="4"/>
        <v>0.14430617209783789</v>
      </c>
      <c r="AD28" s="12">
        <f t="shared" si="4"/>
        <v>0.14128124367826314</v>
      </c>
      <c r="AE28" s="12">
        <f t="shared" si="4"/>
        <v>0.13809542227006402</v>
      </c>
      <c r="AF28" s="12">
        <f t="shared" si="4"/>
        <v>0.13441854411649343</v>
      </c>
      <c r="AG28" s="12">
        <f t="shared" si="4"/>
        <v>0.13056192376132902</v>
      </c>
      <c r="AH28" s="12">
        <f t="shared" si="4"/>
        <v>0.12671231353942536</v>
      </c>
      <c r="AI28" s="12">
        <f t="shared" si="4"/>
        <v>0.12306415088391405</v>
      </c>
    </row>
    <row r="29" spans="2:35" x14ac:dyDescent="0.25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FF"/>
  </sheetPr>
  <dimension ref="B2:N172"/>
  <sheetViews>
    <sheetView showGridLines="0" tabSelected="1" zoomScale="120" zoomScaleNormal="120" workbookViewId="0">
      <selection activeCell="K6" sqref="K6"/>
    </sheetView>
  </sheetViews>
  <sheetFormatPr baseColWidth="10" defaultColWidth="9.140625" defaultRowHeight="15.75" x14ac:dyDescent="0.25"/>
  <cols>
    <col min="1" max="1" width="9.140625" style="214"/>
    <col min="2" max="2" width="57.140625" style="214" customWidth="1"/>
    <col min="3" max="3" width="15" style="214" hidden="1" customWidth="1"/>
    <col min="4" max="4" width="12.85546875" style="214" hidden="1" customWidth="1"/>
    <col min="5" max="5" width="16.42578125" style="214" hidden="1" customWidth="1"/>
    <col min="6" max="9" width="12" style="214" hidden="1" customWidth="1"/>
    <col min="10" max="12" width="11.85546875" style="214" customWidth="1"/>
    <col min="13" max="13" width="11.7109375" style="220" customWidth="1"/>
    <col min="14" max="14" width="11.85546875" style="214" customWidth="1"/>
    <col min="15" max="16384" width="9.140625" style="214"/>
  </cols>
  <sheetData>
    <row r="2" spans="2:14" s="218" customFormat="1" x14ac:dyDescent="0.25">
      <c r="B2" s="215" t="s">
        <v>205</v>
      </c>
      <c r="C2" s="216">
        <v>40178</v>
      </c>
      <c r="D2" s="216">
        <v>40543</v>
      </c>
      <c r="E2" s="216">
        <v>40908</v>
      </c>
      <c r="F2" s="216">
        <v>41274</v>
      </c>
      <c r="G2" s="216">
        <v>41639</v>
      </c>
      <c r="H2" s="217">
        <v>2014</v>
      </c>
      <c r="I2" s="217">
        <v>2015</v>
      </c>
      <c r="J2" s="217">
        <v>2016</v>
      </c>
      <c r="K2" s="217">
        <v>2017</v>
      </c>
      <c r="L2" s="217">
        <v>2018</v>
      </c>
      <c r="M2" s="217">
        <v>2019</v>
      </c>
      <c r="N2" s="260">
        <v>2020</v>
      </c>
    </row>
    <row r="3" spans="2:14" x14ac:dyDescent="0.25">
      <c r="B3" s="219"/>
      <c r="C3" s="220"/>
      <c r="D3" s="220"/>
      <c r="E3" s="220"/>
      <c r="F3" s="220"/>
      <c r="G3" s="220"/>
      <c r="H3" s="220"/>
      <c r="I3" s="220"/>
      <c r="J3" s="221"/>
      <c r="K3" s="221"/>
      <c r="L3" s="221"/>
      <c r="M3" s="221"/>
      <c r="N3" s="271"/>
    </row>
    <row r="4" spans="2:14" x14ac:dyDescent="0.25">
      <c r="B4" s="222" t="s">
        <v>38</v>
      </c>
      <c r="C4" s="220" t="e">
        <f>#REF!</f>
        <v>#REF!</v>
      </c>
      <c r="D4" s="220" t="e">
        <f>#REF!</f>
        <v>#REF!</v>
      </c>
      <c r="E4" s="220" t="e">
        <f>#REF!</f>
        <v>#REF!</v>
      </c>
      <c r="F4" s="220" t="e">
        <f>#REF!</f>
        <v>#REF!</v>
      </c>
      <c r="G4" s="220" t="e">
        <f>#REF!</f>
        <v>#REF!</v>
      </c>
      <c r="H4" s="220" t="e">
        <f>#REF!</f>
        <v>#REF!</v>
      </c>
      <c r="I4" s="220" t="e">
        <f>#REF!</f>
        <v>#REF!</v>
      </c>
      <c r="J4" s="220">
        <v>455435.69999999995</v>
      </c>
      <c r="K4" s="220">
        <v>521330</v>
      </c>
      <c r="L4" s="220">
        <v>462867.67496900598</v>
      </c>
      <c r="M4" s="220">
        <v>484205</v>
      </c>
      <c r="N4" s="261">
        <v>544219</v>
      </c>
    </row>
    <row r="5" spans="2:14" x14ac:dyDescent="0.25">
      <c r="B5" s="222" t="s">
        <v>47</v>
      </c>
      <c r="C5" s="220" t="e">
        <f>#REF!</f>
        <v>#REF!</v>
      </c>
      <c r="D5" s="220" t="e">
        <f>#REF!</f>
        <v>#REF!</v>
      </c>
      <c r="E5" s="220" t="e">
        <f>#REF!</f>
        <v>#REF!</v>
      </c>
      <c r="F5" s="220" t="e">
        <f>#REF!</f>
        <v>#REF!</v>
      </c>
      <c r="G5" s="220" t="e">
        <f>#REF!</f>
        <v>#REF!</v>
      </c>
      <c r="H5" s="220" t="e">
        <f>#REF!</f>
        <v>#REF!</v>
      </c>
      <c r="I5" s="220" t="e">
        <f>#REF!</f>
        <v>#REF!</v>
      </c>
      <c r="J5" s="220">
        <v>2849</v>
      </c>
      <c r="K5" s="220">
        <v>7401</v>
      </c>
      <c r="L5" s="220">
        <v>6743.8247854885194</v>
      </c>
      <c r="M5" s="220">
        <v>5826</v>
      </c>
      <c r="N5" s="261">
        <v>1903</v>
      </c>
    </row>
    <row r="6" spans="2:14" x14ac:dyDescent="0.25">
      <c r="B6" s="222" t="s">
        <v>19</v>
      </c>
      <c r="C6" s="220"/>
      <c r="D6" s="220"/>
      <c r="E6" s="220"/>
      <c r="F6" s="220">
        <v>0</v>
      </c>
      <c r="G6" s="220" t="e">
        <f>#REF!</f>
        <v>#REF!</v>
      </c>
      <c r="H6" s="220" t="e">
        <f>#REF!</f>
        <v>#REF!</v>
      </c>
      <c r="I6" s="220" t="e">
        <f>#REF!</f>
        <v>#REF!</v>
      </c>
      <c r="J6" s="220">
        <v>15924</v>
      </c>
      <c r="K6" s="220">
        <v>16335</v>
      </c>
      <c r="L6" s="220">
        <v>0</v>
      </c>
      <c r="M6" s="220">
        <v>0</v>
      </c>
      <c r="N6" s="261">
        <v>0</v>
      </c>
    </row>
    <row r="7" spans="2:14" x14ac:dyDescent="0.25">
      <c r="B7" s="231" t="s">
        <v>18</v>
      </c>
      <c r="C7" s="224" t="e">
        <f>#REF!</f>
        <v>#REF!</v>
      </c>
      <c r="D7" s="224" t="e">
        <f>#REF!</f>
        <v>#REF!</v>
      </c>
      <c r="E7" s="224" t="e">
        <f>#REF!</f>
        <v>#REF!</v>
      </c>
      <c r="F7" s="224" t="e">
        <f>#REF!</f>
        <v>#REF!</v>
      </c>
      <c r="G7" s="224" t="e">
        <f>#REF!</f>
        <v>#REF!</v>
      </c>
      <c r="H7" s="224" t="e">
        <f>#REF!</f>
        <v>#REF!</v>
      </c>
      <c r="I7" s="224" t="e">
        <f>#REF!</f>
        <v>#REF!</v>
      </c>
      <c r="J7" s="224">
        <v>1976</v>
      </c>
      <c r="K7" s="224">
        <v>1675</v>
      </c>
      <c r="L7" s="224">
        <v>0</v>
      </c>
      <c r="M7" s="220">
        <v>0</v>
      </c>
      <c r="N7" s="272">
        <v>0</v>
      </c>
    </row>
    <row r="8" spans="2:14" s="218" customFormat="1" x14ac:dyDescent="0.25">
      <c r="B8" s="241" t="s">
        <v>48</v>
      </c>
      <c r="C8" s="242" t="e">
        <f t="shared" ref="C8:I8" si="0">SUM(C4:C7)</f>
        <v>#REF!</v>
      </c>
      <c r="D8" s="242" t="e">
        <f t="shared" si="0"/>
        <v>#REF!</v>
      </c>
      <c r="E8" s="242" t="e">
        <f t="shared" si="0"/>
        <v>#REF!</v>
      </c>
      <c r="F8" s="242" t="e">
        <f t="shared" si="0"/>
        <v>#REF!</v>
      </c>
      <c r="G8" s="242" t="e">
        <f t="shared" si="0"/>
        <v>#REF!</v>
      </c>
      <c r="H8" s="242" t="e">
        <f t="shared" si="0"/>
        <v>#REF!</v>
      </c>
      <c r="I8" s="242" t="e">
        <f t="shared" si="0"/>
        <v>#REF!</v>
      </c>
      <c r="J8" s="242">
        <v>476184.69999999995</v>
      </c>
      <c r="K8" s="242">
        <v>546741</v>
      </c>
      <c r="L8" s="242">
        <v>469611.49975449452</v>
      </c>
      <c r="M8" s="244">
        <v>490031</v>
      </c>
      <c r="N8" s="262">
        <v>546122</v>
      </c>
    </row>
    <row r="9" spans="2:14" x14ac:dyDescent="0.25">
      <c r="B9" s="219"/>
      <c r="C9" s="220"/>
      <c r="D9" s="220"/>
      <c r="E9" s="220"/>
      <c r="F9" s="220"/>
      <c r="G9" s="220"/>
      <c r="H9" s="220"/>
      <c r="I9" s="220"/>
      <c r="J9" s="220"/>
      <c r="K9" s="220"/>
      <c r="L9" s="220"/>
      <c r="N9" s="261"/>
    </row>
    <row r="10" spans="2:14" x14ac:dyDescent="0.25">
      <c r="B10" s="219" t="s">
        <v>20</v>
      </c>
      <c r="C10" s="220" t="e">
        <f>#REF!+#REF!</f>
        <v>#REF!</v>
      </c>
      <c r="D10" s="220" t="e">
        <f>#REF!+#REF!</f>
        <v>#REF!</v>
      </c>
      <c r="E10" s="220" t="e">
        <f>#REF!+#REF!</f>
        <v>#REF!</v>
      </c>
      <c r="F10" s="220" t="e">
        <f>#REF!+#REF!</f>
        <v>#REF!</v>
      </c>
      <c r="G10" s="220" t="e">
        <f>#REF!+#REF!</f>
        <v>#REF!</v>
      </c>
      <c r="H10" s="220" t="e">
        <f>#REF!+#REF!</f>
        <v>#REF!</v>
      </c>
      <c r="I10" s="220" t="e">
        <f>#REF!+#REF!</f>
        <v>#REF!</v>
      </c>
      <c r="J10" s="220">
        <v>-3013</v>
      </c>
      <c r="K10" s="220">
        <v>2980.4</v>
      </c>
      <c r="L10" s="220">
        <v>-4584.7703434901132</v>
      </c>
      <c r="M10" s="220">
        <v>-9000</v>
      </c>
      <c r="N10" s="261">
        <v>-13286</v>
      </c>
    </row>
    <row r="11" spans="2:14" x14ac:dyDescent="0.25">
      <c r="B11" s="219" t="s">
        <v>21</v>
      </c>
      <c r="C11" s="220" t="e">
        <f>#REF!+#REF!</f>
        <v>#REF!</v>
      </c>
      <c r="D11" s="220" t="e">
        <f>#REF!+#REF!</f>
        <v>#REF!</v>
      </c>
      <c r="E11" s="220" t="e">
        <f>#REF!+#REF!</f>
        <v>#REF!</v>
      </c>
      <c r="F11" s="220" t="e">
        <f>#REF!+#REF!</f>
        <v>#REF!</v>
      </c>
      <c r="G11" s="220" t="e">
        <f>#REF!+#REF!</f>
        <v>#REF!</v>
      </c>
      <c r="H11" s="220" t="e">
        <f>#REF!+#REF!</f>
        <v>#REF!</v>
      </c>
      <c r="I11" s="220" t="e">
        <f>#REF!+#REF!</f>
        <v>#REF!</v>
      </c>
      <c r="J11" s="220">
        <v>-253043</v>
      </c>
      <c r="K11" s="220">
        <v>-293933.59999999998</v>
      </c>
      <c r="L11" s="220">
        <v>-275440.24274559744</v>
      </c>
      <c r="M11" s="220">
        <v>-286171</v>
      </c>
      <c r="N11" s="261">
        <v>-304550</v>
      </c>
    </row>
    <row r="12" spans="2:14" x14ac:dyDescent="0.25">
      <c r="B12" s="219" t="s">
        <v>22</v>
      </c>
      <c r="C12" s="220" t="e">
        <f>#REF!</f>
        <v>#REF!</v>
      </c>
      <c r="D12" s="220" t="e">
        <f>#REF!</f>
        <v>#REF!</v>
      </c>
      <c r="E12" s="220" t="e">
        <f>#REF!</f>
        <v>#REF!</v>
      </c>
      <c r="F12" s="220" t="e">
        <f>#REF!</f>
        <v>#REF!</v>
      </c>
      <c r="G12" s="220" t="e">
        <f>#REF!</f>
        <v>#REF!</v>
      </c>
      <c r="H12" s="220" t="e">
        <f>#REF!</f>
        <v>#REF!</v>
      </c>
      <c r="I12" s="220" t="e">
        <f>#REF!</f>
        <v>#REF!</v>
      </c>
      <c r="J12" s="220">
        <v>-70691</v>
      </c>
      <c r="K12" s="220">
        <v>-73740.600000000006</v>
      </c>
      <c r="L12" s="220">
        <v>-79717.546115242993</v>
      </c>
      <c r="M12" s="220">
        <v>-73033</v>
      </c>
      <c r="N12" s="261">
        <v>-77349</v>
      </c>
    </row>
    <row r="13" spans="2:14" x14ac:dyDescent="0.25">
      <c r="B13" s="219" t="s">
        <v>23</v>
      </c>
      <c r="C13" s="220" t="e">
        <f>#REF!</f>
        <v>#REF!</v>
      </c>
      <c r="D13" s="220" t="e">
        <f>#REF!</f>
        <v>#REF!</v>
      </c>
      <c r="E13" s="220" t="e">
        <f>#REF!</f>
        <v>#REF!</v>
      </c>
      <c r="F13" s="220" t="e">
        <f>#REF!</f>
        <v>#REF!</v>
      </c>
      <c r="G13" s="220" t="e">
        <f>#REF!</f>
        <v>#REF!</v>
      </c>
      <c r="H13" s="220" t="e">
        <f>#REF!</f>
        <v>#REF!</v>
      </c>
      <c r="I13" s="220" t="e">
        <f>#REF!</f>
        <v>#REF!</v>
      </c>
      <c r="J13" s="220">
        <v>-4010.2092097602499</v>
      </c>
      <c r="K13" s="220">
        <v>-3157</v>
      </c>
      <c r="L13" s="220">
        <v>13492.494891431899</v>
      </c>
      <c r="M13" s="220">
        <v>12050</v>
      </c>
      <c r="N13" s="261">
        <v>989</v>
      </c>
    </row>
    <row r="14" spans="2:14" x14ac:dyDescent="0.25">
      <c r="B14" s="219" t="s">
        <v>24</v>
      </c>
      <c r="C14" s="220" t="e">
        <f>#REF!</f>
        <v>#REF!</v>
      </c>
      <c r="D14" s="220" t="e">
        <f>#REF!</f>
        <v>#REF!</v>
      </c>
      <c r="E14" s="220" t="e">
        <f>#REF!</f>
        <v>#REF!</v>
      </c>
      <c r="F14" s="220" t="e">
        <f>#REF!</f>
        <v>#REF!</v>
      </c>
      <c r="G14" s="220" t="e">
        <f>#REF!</f>
        <v>#REF!</v>
      </c>
      <c r="H14" s="220" t="e">
        <f>#REF!</f>
        <v>#REF!</v>
      </c>
      <c r="I14" s="220" t="e">
        <f>#REF!</f>
        <v>#REF!</v>
      </c>
      <c r="J14" s="220">
        <v>0</v>
      </c>
      <c r="K14" s="220">
        <v>0</v>
      </c>
      <c r="L14" s="220">
        <v>0</v>
      </c>
      <c r="M14" s="220">
        <v>0</v>
      </c>
      <c r="N14" s="261">
        <v>0</v>
      </c>
    </row>
    <row r="15" spans="2:14" s="218" customFormat="1" x14ac:dyDescent="0.25">
      <c r="B15" s="243" t="s">
        <v>49</v>
      </c>
      <c r="C15" s="244" t="e">
        <f t="shared" ref="C15:I15" si="1">SUM(C8:C14)</f>
        <v>#REF!</v>
      </c>
      <c r="D15" s="244" t="e">
        <f t="shared" si="1"/>
        <v>#REF!</v>
      </c>
      <c r="E15" s="244" t="e">
        <f t="shared" si="1"/>
        <v>#REF!</v>
      </c>
      <c r="F15" s="244" t="e">
        <f t="shared" si="1"/>
        <v>#REF!</v>
      </c>
      <c r="G15" s="244" t="e">
        <f t="shared" si="1"/>
        <v>#REF!</v>
      </c>
      <c r="H15" s="244" t="e">
        <f t="shared" si="1"/>
        <v>#REF!</v>
      </c>
      <c r="I15" s="244" t="e">
        <f t="shared" si="1"/>
        <v>#REF!</v>
      </c>
      <c r="J15" s="244">
        <v>145427.49079023971</v>
      </c>
      <c r="K15" s="244">
        <v>178890.20000000004</v>
      </c>
      <c r="L15" s="244">
        <v>123361.43544159587</v>
      </c>
      <c r="M15" s="244">
        <v>133877</v>
      </c>
      <c r="N15" s="273">
        <v>151926</v>
      </c>
    </row>
    <row r="16" spans="2:14" s="223" customFormat="1" x14ac:dyDescent="0.25">
      <c r="B16" s="245" t="s">
        <v>40</v>
      </c>
      <c r="C16" s="246" t="e">
        <f t="shared" ref="C16:I16" si="2">C15/C4</f>
        <v>#REF!</v>
      </c>
      <c r="D16" s="246" t="e">
        <f t="shared" si="2"/>
        <v>#REF!</v>
      </c>
      <c r="E16" s="246" t="e">
        <f t="shared" si="2"/>
        <v>#REF!</v>
      </c>
      <c r="F16" s="246" t="e">
        <f t="shared" si="2"/>
        <v>#REF!</v>
      </c>
      <c r="G16" s="246" t="e">
        <f t="shared" si="2"/>
        <v>#REF!</v>
      </c>
      <c r="H16" s="246" t="e">
        <f t="shared" si="2"/>
        <v>#REF!</v>
      </c>
      <c r="I16" s="246" t="e">
        <f t="shared" si="2"/>
        <v>#REF!</v>
      </c>
      <c r="J16" s="246">
        <v>0.31931508836536032</v>
      </c>
      <c r="K16" s="246">
        <v>0.3431419638232982</v>
      </c>
      <c r="L16" s="246">
        <v>0.26651555533631993</v>
      </c>
      <c r="M16" s="246">
        <v>0.27648826426823347</v>
      </c>
      <c r="N16" s="274">
        <v>0.27916335151841448</v>
      </c>
    </row>
    <row r="17" spans="2:14" x14ac:dyDescent="0.25">
      <c r="B17" s="219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N17" s="261"/>
    </row>
    <row r="18" spans="2:14" x14ac:dyDescent="0.25">
      <c r="B18" s="219" t="s">
        <v>50</v>
      </c>
      <c r="C18" s="220" t="e">
        <f>#REF!</f>
        <v>#REF!</v>
      </c>
      <c r="D18" s="220" t="e">
        <f>#REF!</f>
        <v>#REF!</v>
      </c>
      <c r="E18" s="220" t="e">
        <f>#REF!</f>
        <v>#REF!</v>
      </c>
      <c r="F18" s="220" t="e">
        <f>#REF!</f>
        <v>#REF!</v>
      </c>
      <c r="G18" s="220" t="e">
        <f>#REF!</f>
        <v>#REF!</v>
      </c>
      <c r="H18" s="220" t="e">
        <f>#REF!</f>
        <v>#REF!</v>
      </c>
      <c r="I18" s="220" t="e">
        <f>#REF!</f>
        <v>#REF!</v>
      </c>
      <c r="J18" s="220">
        <v>-9282.7138668747302</v>
      </c>
      <c r="K18" s="220">
        <v>-9756.6</v>
      </c>
      <c r="L18" s="220">
        <v>-9561.6183513353299</v>
      </c>
      <c r="M18" s="220">
        <v>-10296</v>
      </c>
      <c r="N18" s="261">
        <v>-10032</v>
      </c>
    </row>
    <row r="19" spans="2:14" x14ac:dyDescent="0.25">
      <c r="B19" s="219" t="s">
        <v>25</v>
      </c>
      <c r="C19" s="220" t="e">
        <f>#REF!</f>
        <v>#REF!</v>
      </c>
      <c r="D19" s="220" t="e">
        <f>#REF!</f>
        <v>#REF!</v>
      </c>
      <c r="E19" s="220" t="e">
        <f>#REF!</f>
        <v>#REF!</v>
      </c>
      <c r="F19" s="220" t="e">
        <f>#REF!</f>
        <v>#REF!</v>
      </c>
      <c r="G19" s="220" t="e">
        <f>#REF!</f>
        <v>#REF!</v>
      </c>
      <c r="H19" s="220" t="e">
        <f>#REF!</f>
        <v>#REF!</v>
      </c>
      <c r="I19" s="220" t="e">
        <f>#REF!</f>
        <v>#REF!</v>
      </c>
      <c r="J19" s="220">
        <v>-68247.159600159997</v>
      </c>
      <c r="K19" s="220">
        <v>-69336</v>
      </c>
      <c r="L19" s="220">
        <v>-73775</v>
      </c>
      <c r="M19" s="220">
        <v>-81957</v>
      </c>
      <c r="N19" s="261">
        <v>-83141</v>
      </c>
    </row>
    <row r="20" spans="2:14" s="218" customFormat="1" x14ac:dyDescent="0.25">
      <c r="B20" s="243" t="s">
        <v>51</v>
      </c>
      <c r="C20" s="244" t="e">
        <f t="shared" ref="C20:I20" si="3">C15+C18+C19</f>
        <v>#REF!</v>
      </c>
      <c r="D20" s="244" t="e">
        <f t="shared" si="3"/>
        <v>#REF!</v>
      </c>
      <c r="E20" s="244" t="e">
        <f t="shared" si="3"/>
        <v>#REF!</v>
      </c>
      <c r="F20" s="244" t="e">
        <f t="shared" si="3"/>
        <v>#REF!</v>
      </c>
      <c r="G20" s="244" t="e">
        <f t="shared" si="3"/>
        <v>#REF!</v>
      </c>
      <c r="H20" s="244" t="e">
        <f t="shared" si="3"/>
        <v>#REF!</v>
      </c>
      <c r="I20" s="244" t="e">
        <f t="shared" si="3"/>
        <v>#REF!</v>
      </c>
      <c r="J20" s="244">
        <v>67897.617323204991</v>
      </c>
      <c r="K20" s="244">
        <v>99797.600000000035</v>
      </c>
      <c r="L20" s="244">
        <v>40024.817090260534</v>
      </c>
      <c r="M20" s="244">
        <v>41624</v>
      </c>
      <c r="N20" s="273">
        <v>58753</v>
      </c>
    </row>
    <row r="21" spans="2:14" s="223" customFormat="1" x14ac:dyDescent="0.25">
      <c r="B21" s="245" t="s">
        <v>40</v>
      </c>
      <c r="C21" s="246" t="e">
        <f t="shared" ref="C21:I21" si="4">C20/C4</f>
        <v>#REF!</v>
      </c>
      <c r="D21" s="246" t="e">
        <f t="shared" si="4"/>
        <v>#REF!</v>
      </c>
      <c r="E21" s="246" t="e">
        <f t="shared" si="4"/>
        <v>#REF!</v>
      </c>
      <c r="F21" s="246" t="e">
        <f t="shared" si="4"/>
        <v>#REF!</v>
      </c>
      <c r="G21" s="246" t="e">
        <f t="shared" si="4"/>
        <v>#REF!</v>
      </c>
      <c r="H21" s="246" t="e">
        <f t="shared" si="4"/>
        <v>#REF!</v>
      </c>
      <c r="I21" s="246" t="e">
        <f t="shared" si="4"/>
        <v>#REF!</v>
      </c>
      <c r="J21" s="246">
        <v>0.14908277353577024</v>
      </c>
      <c r="K21" s="246">
        <v>0.19142884545297612</v>
      </c>
      <c r="L21" s="246">
        <v>8.647140263778548E-2</v>
      </c>
      <c r="M21" s="246">
        <v>8.5963589801840129E-2</v>
      </c>
      <c r="N21" s="274">
        <v>0.10795837705041536</v>
      </c>
    </row>
    <row r="22" spans="2:14" x14ac:dyDescent="0.25"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N22" s="261"/>
    </row>
    <row r="23" spans="2:14" x14ac:dyDescent="0.25">
      <c r="B23" s="219" t="s">
        <v>52</v>
      </c>
      <c r="C23" s="220" t="e">
        <f>#REF!+#REF!</f>
        <v>#REF!</v>
      </c>
      <c r="D23" s="220" t="e">
        <f>#REF!+#REF!</f>
        <v>#REF!</v>
      </c>
      <c r="E23" s="220" t="e">
        <f>#REF!+#REF!</f>
        <v>#REF!</v>
      </c>
      <c r="F23" s="220" t="e">
        <f>#REF!+#REF!</f>
        <v>#REF!</v>
      </c>
      <c r="G23" s="220" t="e">
        <f>#REF!+#REF!</f>
        <v>#REF!</v>
      </c>
      <c r="H23" s="220" t="e">
        <f>#REF!+#REF!</f>
        <v>#REF!</v>
      </c>
      <c r="I23" s="220" t="e">
        <f>#REF!+#REF!</f>
        <v>#REF!</v>
      </c>
      <c r="J23" s="220">
        <v>-50476.6</v>
      </c>
      <c r="K23" s="220">
        <v>-48821</v>
      </c>
      <c r="L23" s="220">
        <v>-48270.368893029954</v>
      </c>
      <c r="M23" s="220">
        <v>-45659.700000000004</v>
      </c>
      <c r="N23" s="261">
        <v>-51156</v>
      </c>
    </row>
    <row r="24" spans="2:14" x14ac:dyDescent="0.25">
      <c r="B24" s="219" t="s">
        <v>53</v>
      </c>
      <c r="C24" s="220" t="e">
        <f>#REF!</f>
        <v>#REF!</v>
      </c>
      <c r="D24" s="220" t="e">
        <f>#REF!</f>
        <v>#REF!</v>
      </c>
      <c r="E24" s="220" t="e">
        <f>#REF!</f>
        <v>#REF!</v>
      </c>
      <c r="F24" s="220" t="e">
        <f>#REF!</f>
        <v>#REF!</v>
      </c>
      <c r="G24" s="220" t="e">
        <f>#REF!</f>
        <v>#REF!</v>
      </c>
      <c r="H24" s="220" t="e">
        <f>#REF!</f>
        <v>#REF!</v>
      </c>
      <c r="I24" s="220" t="e">
        <f>#REF!</f>
        <v>#REF!</v>
      </c>
      <c r="J24" s="220">
        <v>5662.4</v>
      </c>
      <c r="K24" s="220">
        <v>4167</v>
      </c>
      <c r="L24" s="220">
        <v>4036.50660530611</v>
      </c>
      <c r="M24" s="220">
        <v>4279</v>
      </c>
      <c r="N24" s="261">
        <v>19939</v>
      </c>
    </row>
    <row r="25" spans="2:14" x14ac:dyDescent="0.25">
      <c r="B25" s="219" t="s">
        <v>26</v>
      </c>
      <c r="C25" s="220" t="e">
        <f>#REF!</f>
        <v>#REF!</v>
      </c>
      <c r="D25" s="220" t="e">
        <f>#REF!</f>
        <v>#REF!</v>
      </c>
      <c r="E25" s="220" t="e">
        <f>#REF!</f>
        <v>#REF!</v>
      </c>
      <c r="F25" s="220" t="e">
        <f>#REF!</f>
        <v>#REF!</v>
      </c>
      <c r="G25" s="220" t="e">
        <f>#REF!</f>
        <v>#REF!</v>
      </c>
      <c r="H25" s="220" t="e">
        <f>#REF!</f>
        <v>#REF!</v>
      </c>
      <c r="I25" s="220" t="e">
        <f>#REF!</f>
        <v>#REF!</v>
      </c>
      <c r="J25" s="220">
        <v>1700.4</v>
      </c>
      <c r="K25" s="220">
        <v>132</v>
      </c>
      <c r="L25" s="220">
        <v>250.77281556291101</v>
      </c>
      <c r="M25" s="220">
        <v>4402</v>
      </c>
      <c r="N25" s="261">
        <v>1722</v>
      </c>
    </row>
    <row r="26" spans="2:14" s="218" customFormat="1" x14ac:dyDescent="0.25">
      <c r="B26" s="243" t="s">
        <v>27</v>
      </c>
      <c r="C26" s="244" t="e">
        <f t="shared" ref="C26:I26" si="5">C20+C23+C24+C25</f>
        <v>#REF!</v>
      </c>
      <c r="D26" s="244" t="e">
        <f t="shared" si="5"/>
        <v>#REF!</v>
      </c>
      <c r="E26" s="244" t="e">
        <f t="shared" si="5"/>
        <v>#REF!</v>
      </c>
      <c r="F26" s="244" t="e">
        <f t="shared" si="5"/>
        <v>#REF!</v>
      </c>
      <c r="G26" s="244" t="e">
        <f t="shared" si="5"/>
        <v>#REF!</v>
      </c>
      <c r="H26" s="244" t="e">
        <f t="shared" si="5"/>
        <v>#REF!</v>
      </c>
      <c r="I26" s="244" t="e">
        <f t="shared" si="5"/>
        <v>#REF!</v>
      </c>
      <c r="J26" s="244">
        <v>24783.817323204996</v>
      </c>
      <c r="K26" s="244">
        <v>55275.600000000035</v>
      </c>
      <c r="L26" s="244">
        <v>-3958.2723819003986</v>
      </c>
      <c r="M26" s="244">
        <v>4645.2999999999956</v>
      </c>
      <c r="N26" s="273">
        <v>29258</v>
      </c>
    </row>
    <row r="27" spans="2:14" s="223" customFormat="1" x14ac:dyDescent="0.25">
      <c r="B27" s="245" t="s">
        <v>40</v>
      </c>
      <c r="C27" s="246" t="e">
        <f t="shared" ref="C27:I27" si="6">C26/C4</f>
        <v>#REF!</v>
      </c>
      <c r="D27" s="246" t="e">
        <f t="shared" si="6"/>
        <v>#REF!</v>
      </c>
      <c r="E27" s="246" t="e">
        <f t="shared" si="6"/>
        <v>#REF!</v>
      </c>
      <c r="F27" s="246" t="e">
        <f t="shared" si="6"/>
        <v>#REF!</v>
      </c>
      <c r="G27" s="246" t="e">
        <f t="shared" si="6"/>
        <v>#REF!</v>
      </c>
      <c r="H27" s="246" t="e">
        <f t="shared" si="6"/>
        <v>#REF!</v>
      </c>
      <c r="I27" s="246" t="e">
        <f t="shared" si="6"/>
        <v>#REF!</v>
      </c>
      <c r="J27" s="246">
        <v>5.4417818636538592E-2</v>
      </c>
      <c r="K27" s="246">
        <v>0.10602804365756821</v>
      </c>
      <c r="L27" s="246">
        <v>-8.5516284587500036E-3</v>
      </c>
      <c r="M27" s="246">
        <v>9.5936638407286088E-3</v>
      </c>
      <c r="N27" s="274">
        <v>5.376144530051321E-2</v>
      </c>
    </row>
    <row r="28" spans="2:14" x14ac:dyDescent="0.25">
      <c r="B28" s="219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N28" s="261"/>
    </row>
    <row r="29" spans="2:14" x14ac:dyDescent="0.25">
      <c r="B29" s="219" t="s">
        <v>176</v>
      </c>
      <c r="C29" s="220">
        <v>0</v>
      </c>
      <c r="D29" s="220">
        <v>0</v>
      </c>
      <c r="E29" s="220">
        <v>0</v>
      </c>
      <c r="F29" s="220">
        <v>0</v>
      </c>
      <c r="G29" s="220">
        <v>0</v>
      </c>
      <c r="H29" s="220">
        <v>-61</v>
      </c>
      <c r="I29" s="220">
        <v>-525</v>
      </c>
      <c r="J29" s="220">
        <v>0</v>
      </c>
      <c r="K29" s="220">
        <v>18</v>
      </c>
      <c r="L29" s="220">
        <v>0</v>
      </c>
      <c r="M29" s="220">
        <v>-309.3</v>
      </c>
      <c r="N29" s="261">
        <v>-314</v>
      </c>
    </row>
    <row r="30" spans="2:14" x14ac:dyDescent="0.25">
      <c r="B30" s="219" t="s">
        <v>28</v>
      </c>
      <c r="C30" s="220" t="e">
        <f>#REF!</f>
        <v>#REF!</v>
      </c>
      <c r="D30" s="220" t="e">
        <f>#REF!</f>
        <v>#REF!</v>
      </c>
      <c r="E30" s="220" t="e">
        <f>#REF!</f>
        <v>#REF!</v>
      </c>
      <c r="F30" s="220" t="e">
        <f>#REF!</f>
        <v>#REF!</v>
      </c>
      <c r="G30" s="220" t="e">
        <f>#REF!</f>
        <v>#REF!</v>
      </c>
      <c r="H30" s="220" t="e">
        <f>#REF!</f>
        <v>#REF!</v>
      </c>
      <c r="I30" s="220" t="e">
        <f>#REF!</f>
        <v>#REF!</v>
      </c>
      <c r="J30" s="220">
        <v>-6979.7999999999993</v>
      </c>
      <c r="K30" s="220">
        <v>-8355</v>
      </c>
      <c r="L30" s="220">
        <v>-11064</v>
      </c>
      <c r="M30" s="220">
        <v>-13517.5</v>
      </c>
      <c r="N30" s="261">
        <v>-14732</v>
      </c>
    </row>
    <row r="31" spans="2:14" x14ac:dyDescent="0.25">
      <c r="B31" s="219" t="s">
        <v>54</v>
      </c>
      <c r="C31" s="220" t="e">
        <f>#REF!</f>
        <v>#REF!</v>
      </c>
      <c r="D31" s="220" t="e">
        <f>#REF!</f>
        <v>#REF!</v>
      </c>
      <c r="E31" s="220" t="e">
        <f>#REF!</f>
        <v>#REF!</v>
      </c>
      <c r="F31" s="220" t="e">
        <f>#REF!</f>
        <v>#REF!</v>
      </c>
      <c r="G31" s="220" t="e">
        <f>#REF!</f>
        <v>#REF!</v>
      </c>
      <c r="H31" s="220" t="e">
        <f>#REF!</f>
        <v>#REF!</v>
      </c>
      <c r="I31" s="220" t="e">
        <f>#REF!</f>
        <v>#REF!</v>
      </c>
      <c r="J31" s="220">
        <v>200</v>
      </c>
      <c r="K31" s="220">
        <v>-717.8</v>
      </c>
      <c r="L31" s="220">
        <v>-413</v>
      </c>
      <c r="M31" s="220">
        <v>-2238</v>
      </c>
      <c r="N31" s="261">
        <v>-466</v>
      </c>
    </row>
    <row r="32" spans="2:14" x14ac:dyDescent="0.25">
      <c r="B32" s="219" t="s">
        <v>55</v>
      </c>
      <c r="C32" s="220" t="e">
        <f>#REF!</f>
        <v>#REF!</v>
      </c>
      <c r="D32" s="220" t="e">
        <f>#REF!</f>
        <v>#REF!</v>
      </c>
      <c r="E32" s="220" t="e">
        <f>#REF!</f>
        <v>#REF!</v>
      </c>
      <c r="F32" s="220" t="e">
        <f>#REF!</f>
        <v>#REF!</v>
      </c>
      <c r="G32" s="220" t="e">
        <f>#REF!</f>
        <v>#REF!</v>
      </c>
      <c r="H32" s="220" t="e">
        <f>#REF!</f>
        <v>#REF!</v>
      </c>
      <c r="I32" s="220" t="e">
        <f>#REF!</f>
        <v>#REF!</v>
      </c>
      <c r="J32" s="220">
        <v>-6105</v>
      </c>
      <c r="K32" s="220">
        <v>-14295</v>
      </c>
      <c r="L32" s="220">
        <v>-1756</v>
      </c>
      <c r="M32" s="220">
        <v>-790</v>
      </c>
      <c r="N32" s="261">
        <v>-4617</v>
      </c>
    </row>
    <row r="33" spans="2:14" x14ac:dyDescent="0.25">
      <c r="B33" s="219" t="s">
        <v>29</v>
      </c>
      <c r="C33" s="220" t="e">
        <f>#REF!</f>
        <v>#REF!</v>
      </c>
      <c r="D33" s="220" t="e">
        <f>#REF!</f>
        <v>#REF!</v>
      </c>
      <c r="E33" s="220" t="e">
        <f>#REF!</f>
        <v>#REF!</v>
      </c>
      <c r="F33" s="220" t="e">
        <f>#REF!</f>
        <v>#REF!</v>
      </c>
      <c r="G33" s="220" t="e">
        <f>#REF!</f>
        <v>#REF!</v>
      </c>
      <c r="H33" s="220" t="e">
        <f>#REF!</f>
        <v>#REF!</v>
      </c>
      <c r="I33" s="220" t="e">
        <f>#REF!</f>
        <v>#REF!</v>
      </c>
      <c r="J33" s="220">
        <v>196.51598915125001</v>
      </c>
      <c r="K33" s="220">
        <v>104</v>
      </c>
      <c r="L33" s="220">
        <v>84</v>
      </c>
      <c r="M33" s="220">
        <v>97.3</v>
      </c>
      <c r="N33" s="261">
        <v>-10</v>
      </c>
    </row>
    <row r="34" spans="2:14" x14ac:dyDescent="0.25">
      <c r="B34" s="219" t="s">
        <v>56</v>
      </c>
      <c r="C34" s="220" t="e">
        <f>#REF!</f>
        <v>#REF!</v>
      </c>
      <c r="D34" s="220" t="e">
        <f>#REF!</f>
        <v>#REF!</v>
      </c>
      <c r="E34" s="220" t="e">
        <f>#REF!</f>
        <v>#REF!</v>
      </c>
      <c r="F34" s="224" t="e">
        <f>#REF!</f>
        <v>#REF!</v>
      </c>
      <c r="G34" s="220" t="e">
        <f>#REF!</f>
        <v>#REF!</v>
      </c>
      <c r="H34" s="220" t="e">
        <f>#REF!</f>
        <v>#REF!</v>
      </c>
      <c r="I34" s="220" t="e">
        <f>#REF!</f>
        <v>#REF!</v>
      </c>
      <c r="J34" s="220">
        <v>-2478.2304160864201</v>
      </c>
      <c r="K34" s="220">
        <v>-2353</v>
      </c>
      <c r="L34" s="220">
        <v>-2174</v>
      </c>
      <c r="M34" s="220">
        <v>-5148.5</v>
      </c>
      <c r="N34" s="261">
        <v>-1284</v>
      </c>
    </row>
    <row r="35" spans="2:14" s="218" customFormat="1" x14ac:dyDescent="0.25">
      <c r="B35" s="243" t="s">
        <v>30</v>
      </c>
      <c r="C35" s="244" t="e">
        <f t="shared" ref="C35:G35" si="7">C34+C33+C32+C31+C30+C26</f>
        <v>#REF!</v>
      </c>
      <c r="D35" s="244" t="e">
        <f t="shared" si="7"/>
        <v>#REF!</v>
      </c>
      <c r="E35" s="244" t="e">
        <f t="shared" si="7"/>
        <v>#REF!</v>
      </c>
      <c r="F35" s="244" t="e">
        <f t="shared" si="7"/>
        <v>#REF!</v>
      </c>
      <c r="G35" s="244" t="e">
        <f t="shared" si="7"/>
        <v>#REF!</v>
      </c>
      <c r="H35" s="244" t="e">
        <f t="shared" ref="H35:M35" si="8">H34+H33+H32+H31+H30+H26+H29</f>
        <v>#REF!</v>
      </c>
      <c r="I35" s="244" t="e">
        <f t="shared" si="8"/>
        <v>#REF!</v>
      </c>
      <c r="J35" s="244">
        <v>9617.3028962698263</v>
      </c>
      <c r="K35" s="244">
        <v>29676.800000000036</v>
      </c>
      <c r="L35" s="244">
        <v>-19281.272381900399</v>
      </c>
      <c r="M35" s="244">
        <v>-17260.700000000004</v>
      </c>
      <c r="N35" s="273">
        <v>7835</v>
      </c>
    </row>
    <row r="36" spans="2:14" s="223" customFormat="1" x14ac:dyDescent="0.25">
      <c r="B36" s="247" t="s">
        <v>40</v>
      </c>
      <c r="C36" s="248" t="e">
        <f t="shared" ref="C36:I36" si="9">C35/C4</f>
        <v>#REF!</v>
      </c>
      <c r="D36" s="248" t="e">
        <f t="shared" si="9"/>
        <v>#REF!</v>
      </c>
      <c r="E36" s="248" t="e">
        <f t="shared" si="9"/>
        <v>#REF!</v>
      </c>
      <c r="F36" s="248" t="e">
        <f t="shared" si="9"/>
        <v>#REF!</v>
      </c>
      <c r="G36" s="248" t="e">
        <f t="shared" si="9"/>
        <v>#REF!</v>
      </c>
      <c r="H36" s="248" t="e">
        <f t="shared" si="9"/>
        <v>#REF!</v>
      </c>
      <c r="I36" s="248" t="e">
        <f t="shared" si="9"/>
        <v>#REF!</v>
      </c>
      <c r="J36" s="248">
        <v>2.111670845361887E-2</v>
      </c>
      <c r="K36" s="248">
        <v>5.6925172155832267E-2</v>
      </c>
      <c r="L36" s="248">
        <v>-4.165612209405526E-2</v>
      </c>
      <c r="M36" s="248">
        <v>-3.5647504672607688E-2</v>
      </c>
      <c r="N36" s="275">
        <v>1.4396777767773636E-2</v>
      </c>
    </row>
    <row r="37" spans="2:14" x14ac:dyDescent="0.25">
      <c r="B37" s="219"/>
      <c r="C37" s="220"/>
      <c r="D37" s="220"/>
      <c r="E37" s="220"/>
      <c r="F37" s="225"/>
      <c r="G37" s="220"/>
      <c r="H37" s="220"/>
      <c r="I37" s="220"/>
      <c r="J37" s="220"/>
      <c r="K37" s="220"/>
      <c r="L37" s="220"/>
      <c r="N37" s="261"/>
    </row>
    <row r="38" spans="2:14" x14ac:dyDescent="0.25">
      <c r="B38" s="219" t="s">
        <v>31</v>
      </c>
      <c r="C38" s="220" t="e">
        <f>#REF!</f>
        <v>#REF!</v>
      </c>
      <c r="D38" s="220" t="e">
        <f>#REF!</f>
        <v>#REF!</v>
      </c>
      <c r="E38" s="220" t="e">
        <f>#REF!</f>
        <v>#REF!</v>
      </c>
      <c r="F38" s="224" t="e">
        <f>#REF!</f>
        <v>#REF!</v>
      </c>
      <c r="G38" s="220" t="e">
        <f>#REF!</f>
        <v>#REF!</v>
      </c>
      <c r="H38" s="220" t="e">
        <f>#REF!</f>
        <v>#REF!</v>
      </c>
      <c r="I38" s="220" t="e">
        <f>#REF!</f>
        <v>#REF!</v>
      </c>
      <c r="J38" s="220">
        <v>5314.9412349782997</v>
      </c>
      <c r="K38" s="220">
        <v>20599</v>
      </c>
      <c r="L38" s="220">
        <v>-4340</v>
      </c>
      <c r="M38" s="220">
        <v>-4573</v>
      </c>
      <c r="N38" s="261">
        <v>4069</v>
      </c>
    </row>
    <row r="39" spans="2:14" s="218" customFormat="1" x14ac:dyDescent="0.25">
      <c r="B39" s="249" t="s">
        <v>32</v>
      </c>
      <c r="C39" s="250" t="e">
        <f t="shared" ref="C39:I39" si="10">C35-C38</f>
        <v>#REF!</v>
      </c>
      <c r="D39" s="250" t="e">
        <f t="shared" si="10"/>
        <v>#REF!</v>
      </c>
      <c r="E39" s="250" t="e">
        <f t="shared" si="10"/>
        <v>#REF!</v>
      </c>
      <c r="F39" s="250" t="e">
        <f t="shared" si="10"/>
        <v>#REF!</v>
      </c>
      <c r="G39" s="250" t="e">
        <f t="shared" si="10"/>
        <v>#REF!</v>
      </c>
      <c r="H39" s="250" t="e">
        <f t="shared" si="10"/>
        <v>#REF!</v>
      </c>
      <c r="I39" s="250" t="e">
        <f t="shared" si="10"/>
        <v>#REF!</v>
      </c>
      <c r="J39" s="250">
        <v>4302.8616612915266</v>
      </c>
      <c r="K39" s="250">
        <v>9078.3000000000357</v>
      </c>
      <c r="L39" s="250">
        <v>-14940.772381900399</v>
      </c>
      <c r="M39" s="250">
        <v>-12687.700000000004</v>
      </c>
      <c r="N39" s="270">
        <v>3766.5</v>
      </c>
    </row>
    <row r="40" spans="2:14" ht="12" customHeight="1" x14ac:dyDescent="0.25">
      <c r="C40" s="226"/>
      <c r="D40" s="226"/>
      <c r="E40" s="226"/>
      <c r="F40" s="226"/>
      <c r="G40" s="221"/>
      <c r="K40" s="221"/>
      <c r="L40" s="221"/>
      <c r="M40" s="221"/>
      <c r="N40" s="221"/>
    </row>
    <row r="41" spans="2:14" x14ac:dyDescent="0.25">
      <c r="C41" s="226"/>
      <c r="D41" s="226"/>
      <c r="E41" s="226"/>
      <c r="F41" s="226"/>
      <c r="G41" s="221"/>
      <c r="K41" s="221"/>
      <c r="L41" s="221"/>
      <c r="M41" s="221"/>
      <c r="N41" s="221"/>
    </row>
    <row r="42" spans="2:14" s="218" customFormat="1" x14ac:dyDescent="0.25">
      <c r="B42" s="215" t="s">
        <v>57</v>
      </c>
      <c r="C42" s="216">
        <v>40178</v>
      </c>
      <c r="D42" s="216">
        <v>40543</v>
      </c>
      <c r="E42" s="216">
        <v>40908</v>
      </c>
      <c r="F42" s="216">
        <v>41274</v>
      </c>
      <c r="G42" s="216">
        <v>41639</v>
      </c>
      <c r="H42" s="217">
        <v>2014</v>
      </c>
      <c r="I42" s="217">
        <v>2015</v>
      </c>
      <c r="J42" s="217">
        <v>2016</v>
      </c>
      <c r="K42" s="217">
        <v>2017</v>
      </c>
      <c r="L42" s="217">
        <v>2018</v>
      </c>
      <c r="M42" s="217">
        <v>2019</v>
      </c>
      <c r="N42" s="260">
        <v>2020</v>
      </c>
    </row>
    <row r="43" spans="2:14" x14ac:dyDescent="0.25">
      <c r="B43" s="219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N43" s="261"/>
    </row>
    <row r="44" spans="2:14" x14ac:dyDescent="0.25">
      <c r="B44" s="222" t="s">
        <v>1</v>
      </c>
      <c r="C44" s="220" t="e">
        <f>#REF!</f>
        <v>#REF!</v>
      </c>
      <c r="D44" s="220" t="e">
        <f>#REF!</f>
        <v>#REF!</v>
      </c>
      <c r="E44" s="220" t="e">
        <f>#REF!</f>
        <v>#REF!</v>
      </c>
      <c r="F44" s="220" t="e">
        <f>#REF!</f>
        <v>#REF!</v>
      </c>
      <c r="G44" s="220" t="e">
        <f>#REF!</f>
        <v>#REF!</v>
      </c>
      <c r="H44" s="220" t="e">
        <f>#REF!</f>
        <v>#REF!</v>
      </c>
      <c r="I44" s="220" t="e">
        <f>#REF!</f>
        <v>#REF!</v>
      </c>
      <c r="J44" s="220">
        <v>49418</v>
      </c>
      <c r="K44" s="220">
        <v>41636</v>
      </c>
      <c r="L44" s="220">
        <v>38871</v>
      </c>
      <c r="M44" s="220">
        <v>34772</v>
      </c>
      <c r="N44" s="261">
        <v>31790</v>
      </c>
    </row>
    <row r="45" spans="2:14" x14ac:dyDescent="0.25">
      <c r="B45" s="222" t="s">
        <v>2</v>
      </c>
      <c r="C45" s="220" t="e">
        <f>#REF!</f>
        <v>#REF!</v>
      </c>
      <c r="D45" s="220" t="e">
        <f>#REF!</f>
        <v>#REF!</v>
      </c>
      <c r="E45" s="220" t="e">
        <f>#REF!</f>
        <v>#REF!</v>
      </c>
      <c r="F45" s="220" t="e">
        <f>#REF!</f>
        <v>#REF!</v>
      </c>
      <c r="G45" s="220" t="e">
        <f>#REF!</f>
        <v>#REF!</v>
      </c>
      <c r="H45" s="220" t="e">
        <f>#REF!</f>
        <v>#REF!</v>
      </c>
      <c r="I45" s="220" t="e">
        <f>#REF!</f>
        <v>#REF!</v>
      </c>
      <c r="J45" s="220">
        <v>332377</v>
      </c>
      <c r="K45" s="220">
        <v>325258</v>
      </c>
      <c r="L45" s="220">
        <v>335391</v>
      </c>
      <c r="M45" s="220">
        <v>346551</v>
      </c>
      <c r="N45" s="261">
        <v>348243</v>
      </c>
    </row>
    <row r="46" spans="2:14" x14ac:dyDescent="0.25">
      <c r="B46" s="222" t="s">
        <v>3</v>
      </c>
      <c r="C46" s="220" t="e">
        <f>#REF!</f>
        <v>#REF!</v>
      </c>
      <c r="D46" s="220" t="e">
        <f>#REF!</f>
        <v>#REF!</v>
      </c>
      <c r="E46" s="220" t="e">
        <f>#REF!</f>
        <v>#REF!</v>
      </c>
      <c r="F46" s="220" t="e">
        <f>#REF!</f>
        <v>#REF!</v>
      </c>
      <c r="G46" s="220" t="e">
        <f>#REF!</f>
        <v>#REF!</v>
      </c>
      <c r="H46" s="220" t="e">
        <f>#REF!</f>
        <v>#REF!</v>
      </c>
      <c r="I46" s="220" t="e">
        <f>#REF!</f>
        <v>#REF!</v>
      </c>
      <c r="J46" s="220">
        <v>14319.4924715093</v>
      </c>
      <c r="K46" s="220">
        <v>9412</v>
      </c>
      <c r="L46" s="220">
        <v>12162</v>
      </c>
      <c r="M46" s="220">
        <v>13975</v>
      </c>
      <c r="N46" s="261">
        <v>14894</v>
      </c>
    </row>
    <row r="47" spans="2:14" x14ac:dyDescent="0.25">
      <c r="B47" s="222" t="s">
        <v>4</v>
      </c>
      <c r="C47" s="220" t="e">
        <f>#REF!</f>
        <v>#REF!</v>
      </c>
      <c r="D47" s="220" t="e">
        <f>#REF!</f>
        <v>#REF!</v>
      </c>
      <c r="E47" s="220" t="e">
        <f>#REF!</f>
        <v>#REF!</v>
      </c>
      <c r="F47" s="220" t="e">
        <f>#REF!</f>
        <v>#REF!</v>
      </c>
      <c r="G47" s="220" t="e">
        <f>#REF!</f>
        <v>#REF!</v>
      </c>
      <c r="H47" s="220" t="e">
        <f>#REF!</f>
        <v>#REF!</v>
      </c>
      <c r="I47" s="220" t="e">
        <f>#REF!</f>
        <v>#REF!</v>
      </c>
      <c r="J47" s="220">
        <v>99799</v>
      </c>
      <c r="K47" s="220">
        <v>114527</v>
      </c>
      <c r="L47" s="220">
        <v>128622</v>
      </c>
      <c r="M47" s="220">
        <v>138387</v>
      </c>
      <c r="N47" s="261">
        <v>139473</v>
      </c>
    </row>
    <row r="48" spans="2:14" x14ac:dyDescent="0.25">
      <c r="B48" s="219" t="s">
        <v>5</v>
      </c>
      <c r="C48" s="220" t="e">
        <f>#REF!</f>
        <v>#REF!</v>
      </c>
      <c r="D48" s="220" t="e">
        <f>#REF!</f>
        <v>#REF!</v>
      </c>
      <c r="E48" s="220" t="e">
        <f>#REF!</f>
        <v>#REF!</v>
      </c>
      <c r="F48" s="220" t="e">
        <f>#REF!</f>
        <v>#REF!</v>
      </c>
      <c r="G48" s="220" t="e">
        <f>#REF!</f>
        <v>#REF!</v>
      </c>
      <c r="H48" s="220" t="e">
        <f>#REF!</f>
        <v>#REF!</v>
      </c>
      <c r="I48" s="220" t="e">
        <f>#REF!</f>
        <v>#REF!</v>
      </c>
      <c r="J48" s="220">
        <v>59736</v>
      </c>
      <c r="K48" s="220">
        <v>56279</v>
      </c>
      <c r="L48" s="220">
        <v>66631</v>
      </c>
      <c r="M48" s="220">
        <v>86101.900000000009</v>
      </c>
      <c r="N48" s="261">
        <v>85565</v>
      </c>
    </row>
    <row r="49" spans="2:14" x14ac:dyDescent="0.25">
      <c r="B49" s="219" t="s">
        <v>58</v>
      </c>
      <c r="C49" s="220" t="e">
        <f>#REF!</f>
        <v>#REF!</v>
      </c>
      <c r="D49" s="220" t="e">
        <f>#REF!</f>
        <v>#REF!</v>
      </c>
      <c r="E49" s="220" t="e">
        <f>#REF!</f>
        <v>#REF!</v>
      </c>
      <c r="F49" s="220" t="e">
        <f>#REF!</f>
        <v>#REF!</v>
      </c>
      <c r="G49" s="220" t="e">
        <f>#REF!</f>
        <v>#REF!</v>
      </c>
      <c r="H49" s="220" t="e">
        <f>#REF!</f>
        <v>#REF!</v>
      </c>
      <c r="I49" s="220" t="e">
        <f>#REF!</f>
        <v>#REF!</v>
      </c>
      <c r="J49" s="220">
        <v>34163</v>
      </c>
      <c r="K49" s="220">
        <v>40058</v>
      </c>
      <c r="L49" s="220">
        <v>35456</v>
      </c>
      <c r="M49" s="220">
        <v>36988.6</v>
      </c>
      <c r="N49" s="261">
        <v>57729</v>
      </c>
    </row>
    <row r="50" spans="2:14" x14ac:dyDescent="0.25">
      <c r="B50" s="219" t="s">
        <v>6</v>
      </c>
      <c r="C50" s="220" t="e">
        <f>#REF!</f>
        <v>#REF!</v>
      </c>
      <c r="D50" s="220" t="e">
        <f>#REF!</f>
        <v>#REF!</v>
      </c>
      <c r="E50" s="220" t="e">
        <f>#REF!</f>
        <v>#REF!</v>
      </c>
      <c r="F50" s="220" t="e">
        <f>#REF!</f>
        <v>#REF!</v>
      </c>
      <c r="G50" s="220" t="e">
        <f>#REF!</f>
        <v>#REF!</v>
      </c>
      <c r="H50" s="220" t="e">
        <f>#REF!</f>
        <v>#REF!</v>
      </c>
      <c r="I50" s="220" t="e">
        <f>#REF!</f>
        <v>#REF!</v>
      </c>
      <c r="J50" s="220">
        <v>0</v>
      </c>
      <c r="K50" s="220">
        <v>0</v>
      </c>
      <c r="L50" s="220">
        <v>0</v>
      </c>
      <c r="M50" s="220">
        <v>0</v>
      </c>
      <c r="N50" s="261">
        <v>0</v>
      </c>
    </row>
    <row r="51" spans="2:14" x14ac:dyDescent="0.25">
      <c r="B51" s="219" t="s">
        <v>7</v>
      </c>
      <c r="C51" s="220" t="e">
        <f>#REF!</f>
        <v>#REF!</v>
      </c>
      <c r="D51" s="220" t="e">
        <f>#REF!</f>
        <v>#REF!</v>
      </c>
      <c r="E51" s="220" t="e">
        <f>#REF!</f>
        <v>#REF!</v>
      </c>
      <c r="F51" s="220" t="e">
        <f>#REF!</f>
        <v>#REF!</v>
      </c>
      <c r="G51" s="220" t="e">
        <f>#REF!</f>
        <v>#REF!</v>
      </c>
      <c r="H51" s="220" t="e">
        <f>#REF!</f>
        <v>#REF!</v>
      </c>
      <c r="I51" s="220" t="e">
        <f>#REF!</f>
        <v>#REF!</v>
      </c>
      <c r="J51" s="220">
        <v>0</v>
      </c>
      <c r="K51" s="220">
        <v>0</v>
      </c>
      <c r="L51" s="220">
        <v>0</v>
      </c>
      <c r="M51" s="220">
        <v>0</v>
      </c>
      <c r="N51" s="261">
        <v>0</v>
      </c>
    </row>
    <row r="52" spans="2:14" s="218" customFormat="1" x14ac:dyDescent="0.25">
      <c r="B52" s="249" t="s">
        <v>8</v>
      </c>
      <c r="C52" s="250" t="e">
        <f t="shared" ref="C52:I52" si="11">SUM(C44:C51)</f>
        <v>#REF!</v>
      </c>
      <c r="D52" s="250" t="e">
        <f t="shared" si="11"/>
        <v>#REF!</v>
      </c>
      <c r="E52" s="250" t="e">
        <f t="shared" si="11"/>
        <v>#REF!</v>
      </c>
      <c r="F52" s="250" t="e">
        <f t="shared" si="11"/>
        <v>#REF!</v>
      </c>
      <c r="G52" s="250" t="e">
        <f t="shared" si="11"/>
        <v>#REF!</v>
      </c>
      <c r="H52" s="250" t="e">
        <f t="shared" si="11"/>
        <v>#REF!</v>
      </c>
      <c r="I52" s="250" t="e">
        <f t="shared" si="11"/>
        <v>#REF!</v>
      </c>
      <c r="J52" s="250">
        <v>589812.49247150938</v>
      </c>
      <c r="K52" s="250">
        <v>587170</v>
      </c>
      <c r="L52" s="250">
        <v>617133</v>
      </c>
      <c r="M52" s="250">
        <v>656775.5</v>
      </c>
      <c r="N52" s="270">
        <v>677694</v>
      </c>
    </row>
    <row r="53" spans="2:14" x14ac:dyDescent="0.25">
      <c r="B53" s="222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N53" s="261"/>
    </row>
    <row r="54" spans="2:14" x14ac:dyDescent="0.25">
      <c r="B54" s="222" t="s">
        <v>9</v>
      </c>
      <c r="C54" s="220" t="e">
        <f>#REF!</f>
        <v>#REF!</v>
      </c>
      <c r="D54" s="220" t="e">
        <f>#REF!</f>
        <v>#REF!</v>
      </c>
      <c r="E54" s="220" t="e">
        <f>#REF!</f>
        <v>#REF!</v>
      </c>
      <c r="F54" s="220" t="e">
        <f>#REF!</f>
        <v>#REF!</v>
      </c>
      <c r="G54" s="220" t="e">
        <f>#REF!</f>
        <v>#REF!</v>
      </c>
      <c r="H54" s="220" t="e">
        <f>#REF!</f>
        <v>#REF!</v>
      </c>
      <c r="I54" s="220" t="e">
        <f>#REF!</f>
        <v>#REF!</v>
      </c>
      <c r="J54" s="220">
        <v>188173.93647700618</v>
      </c>
      <c r="K54" s="220">
        <v>186376</v>
      </c>
      <c r="L54" s="220">
        <v>169918.63553485452</v>
      </c>
      <c r="M54" s="220">
        <v>156581.93499999994</v>
      </c>
      <c r="N54" s="261">
        <v>157282</v>
      </c>
    </row>
    <row r="55" spans="2:14" x14ac:dyDescent="0.25">
      <c r="B55" s="222" t="s">
        <v>10</v>
      </c>
      <c r="C55" s="220" t="e">
        <f>#REF!</f>
        <v>#REF!</v>
      </c>
      <c r="D55" s="220" t="e">
        <f>#REF!</f>
        <v>#REF!</v>
      </c>
      <c r="E55" s="220" t="e">
        <f>#REF!</f>
        <v>#REF!</v>
      </c>
      <c r="F55" s="220" t="e">
        <f>#REF!</f>
        <v>#REF!</v>
      </c>
      <c r="G55" s="220" t="e">
        <f>#REF!</f>
        <v>#REF!</v>
      </c>
      <c r="H55" s="220" t="e">
        <f>#REF!</f>
        <v>#REF!</v>
      </c>
      <c r="I55" s="220" t="e">
        <f>#REF!</f>
        <v>#REF!</v>
      </c>
      <c r="J55" s="220">
        <v>151502.88224829081</v>
      </c>
      <c r="K55" s="220">
        <v>164854</v>
      </c>
      <c r="L55" s="220">
        <v>154836.14079838948</v>
      </c>
      <c r="M55" s="220">
        <v>149576</v>
      </c>
      <c r="N55" s="261">
        <v>156531</v>
      </c>
    </row>
    <row r="56" spans="2:14" x14ac:dyDescent="0.25">
      <c r="B56" s="222" t="s">
        <v>11</v>
      </c>
      <c r="C56" s="220" t="e">
        <f>#REF!</f>
        <v>#REF!</v>
      </c>
      <c r="D56" s="220" t="e">
        <f>#REF!</f>
        <v>#REF!</v>
      </c>
      <c r="E56" s="220" t="e">
        <f>#REF!</f>
        <v>#REF!</v>
      </c>
      <c r="F56" s="220" t="e">
        <f>#REF!</f>
        <v>#REF!</v>
      </c>
      <c r="G56" s="220" t="e">
        <f>#REF!</f>
        <v>#REF!</v>
      </c>
      <c r="H56" s="220" t="e">
        <f>#REF!</f>
        <v>#REF!</v>
      </c>
      <c r="I56" s="220" t="e">
        <f>#REF!</f>
        <v>#REF!</v>
      </c>
      <c r="J56" s="220">
        <v>116342.9</v>
      </c>
      <c r="K56" s="220">
        <v>80938.2</v>
      </c>
      <c r="L56" s="220">
        <v>95031.93450876711</v>
      </c>
      <c r="M56" s="220">
        <v>108299</v>
      </c>
      <c r="N56" s="261">
        <v>151367</v>
      </c>
    </row>
    <row r="57" spans="2:14" x14ac:dyDescent="0.25">
      <c r="B57" s="222" t="s">
        <v>59</v>
      </c>
      <c r="C57" s="220" t="e">
        <f>#REF!+#REF!+#REF!</f>
        <v>#REF!</v>
      </c>
      <c r="D57" s="220" t="e">
        <f>#REF!+#REF!+#REF!</f>
        <v>#REF!</v>
      </c>
      <c r="E57" s="220" t="e">
        <f>#REF!+#REF!+#REF!</f>
        <v>#REF!</v>
      </c>
      <c r="F57" s="220" t="e">
        <f>#REF!+#REF!+#REF!</f>
        <v>#REF!</v>
      </c>
      <c r="G57" s="220" t="e">
        <f>#REF!+#REF!+#REF!</f>
        <v>#REF!</v>
      </c>
      <c r="H57" s="220" t="e">
        <f>#REF!+#REF!+#REF!</f>
        <v>#REF!</v>
      </c>
      <c r="I57" s="220" t="e">
        <f>#REF!+#REF!+#REF!</f>
        <v>#REF!</v>
      </c>
      <c r="J57" s="220">
        <v>11292.3606463174</v>
      </c>
      <c r="K57" s="220">
        <v>10888</v>
      </c>
      <c r="L57" s="220">
        <v>12866.421478946859</v>
      </c>
      <c r="M57" s="220">
        <v>11937</v>
      </c>
      <c r="N57" s="261">
        <v>11779</v>
      </c>
    </row>
    <row r="58" spans="2:14" x14ac:dyDescent="0.25">
      <c r="B58" s="222" t="s">
        <v>12</v>
      </c>
      <c r="C58" s="220" t="e">
        <f>#REF!</f>
        <v>#REF!</v>
      </c>
      <c r="D58" s="220" t="e">
        <f>#REF!</f>
        <v>#REF!</v>
      </c>
      <c r="E58" s="220" t="e">
        <f>#REF!</f>
        <v>#REF!</v>
      </c>
      <c r="F58" s="220" t="e">
        <f>#REF!</f>
        <v>#REF!</v>
      </c>
      <c r="G58" s="220" t="e">
        <f>#REF!</f>
        <v>#REF!</v>
      </c>
      <c r="H58" s="220" t="e">
        <f>#REF!</f>
        <v>#REF!</v>
      </c>
      <c r="I58" s="220" t="e">
        <f>#REF!</f>
        <v>#REF!</v>
      </c>
      <c r="J58" s="220">
        <v>797</v>
      </c>
      <c r="K58" s="220">
        <v>2674</v>
      </c>
      <c r="L58" s="220">
        <v>2439.7430124790103</v>
      </c>
      <c r="M58" s="220">
        <v>2968</v>
      </c>
      <c r="N58" s="261">
        <v>4403</v>
      </c>
    </row>
    <row r="59" spans="2:14" x14ac:dyDescent="0.25">
      <c r="B59" s="219" t="s">
        <v>13</v>
      </c>
      <c r="C59" s="220" t="e">
        <f>#REF!</f>
        <v>#REF!</v>
      </c>
      <c r="D59" s="220" t="e">
        <f>#REF!</f>
        <v>#REF!</v>
      </c>
      <c r="E59" s="220" t="e">
        <f>#REF!</f>
        <v>#REF!</v>
      </c>
      <c r="F59" s="220" t="e">
        <f>#REF!</f>
        <v>#REF!</v>
      </c>
      <c r="G59" s="220" t="e">
        <f>#REF!</f>
        <v>#REF!</v>
      </c>
      <c r="H59" s="220" t="e">
        <f>#REF!</f>
        <v>#REF!</v>
      </c>
      <c r="I59" s="220" t="e">
        <f>#REF!</f>
        <v>#REF!</v>
      </c>
      <c r="J59" s="220">
        <v>33911</v>
      </c>
      <c r="K59" s="220">
        <v>35785</v>
      </c>
      <c r="L59" s="220">
        <v>52859.093478680901</v>
      </c>
      <c r="M59" s="220">
        <v>68688</v>
      </c>
      <c r="N59" s="261">
        <v>62033</v>
      </c>
    </row>
    <row r="60" spans="2:14" x14ac:dyDescent="0.25">
      <c r="B60" s="219" t="s">
        <v>14</v>
      </c>
      <c r="C60" s="220" t="e">
        <f>#REF!</f>
        <v>#REF!</v>
      </c>
      <c r="D60" s="220" t="e">
        <f>#REF!</f>
        <v>#REF!</v>
      </c>
      <c r="E60" s="220" t="e">
        <f>#REF!</f>
        <v>#REF!</v>
      </c>
      <c r="F60" s="220" t="e">
        <f>#REF!</f>
        <v>#REF!</v>
      </c>
      <c r="G60" s="220" t="e">
        <f>#REF!</f>
        <v>#REF!</v>
      </c>
      <c r="H60" s="220" t="e">
        <f>#REF!</f>
        <v>#REF!</v>
      </c>
      <c r="I60" s="220" t="e">
        <f>#REF!</f>
        <v>#REF!</v>
      </c>
      <c r="J60" s="220">
        <v>12931.4</v>
      </c>
      <c r="K60" s="220">
        <v>12728</v>
      </c>
      <c r="L60" s="220">
        <v>7841.0027819555899</v>
      </c>
      <c r="M60" s="220">
        <v>10067</v>
      </c>
      <c r="N60" s="261">
        <v>9909</v>
      </c>
    </row>
    <row r="61" spans="2:14" x14ac:dyDescent="0.25">
      <c r="B61" s="219" t="s">
        <v>15</v>
      </c>
      <c r="C61" s="220" t="e">
        <f>#REF!</f>
        <v>#REF!</v>
      </c>
      <c r="D61" s="220" t="e">
        <f>#REF!</f>
        <v>#REF!</v>
      </c>
      <c r="E61" s="220" t="e">
        <f>#REF!</f>
        <v>#REF!</v>
      </c>
      <c r="F61" s="220" t="e">
        <f>#REF!</f>
        <v>#REF!</v>
      </c>
      <c r="G61" s="220" t="e">
        <f>#REF!</f>
        <v>#REF!</v>
      </c>
      <c r="H61" s="220" t="e">
        <f>#REF!</f>
        <v>#REF!</v>
      </c>
      <c r="I61" s="220" t="e">
        <f>#REF!</f>
        <v>#REF!</v>
      </c>
      <c r="J61" s="220">
        <v>14667</v>
      </c>
      <c r="K61" s="220">
        <v>26152</v>
      </c>
      <c r="L61" s="220">
        <v>35111.339143033496</v>
      </c>
      <c r="M61" s="220">
        <v>43036</v>
      </c>
      <c r="N61" s="261">
        <v>39349</v>
      </c>
    </row>
    <row r="62" spans="2:14" x14ac:dyDescent="0.25">
      <c r="B62" s="219" t="s">
        <v>35</v>
      </c>
      <c r="C62" s="220" t="e">
        <f>#REF!</f>
        <v>#REF!</v>
      </c>
      <c r="D62" s="220" t="e">
        <f>#REF!</f>
        <v>#REF!</v>
      </c>
      <c r="E62" s="220" t="e">
        <f>#REF!</f>
        <v>#REF!</v>
      </c>
      <c r="F62" s="220" t="e">
        <f>#REF!</f>
        <v>#REF!</v>
      </c>
      <c r="G62" s="220" t="e">
        <f>#REF!</f>
        <v>#REF!</v>
      </c>
      <c r="H62" s="220" t="e">
        <f>#REF!</f>
        <v>#REF!</v>
      </c>
      <c r="I62" s="220" t="e">
        <f>#REF!</f>
        <v>#REF!</v>
      </c>
      <c r="J62" s="220">
        <v>60193.969492663302</v>
      </c>
      <c r="K62" s="220">
        <v>66774.5</v>
      </c>
      <c r="L62" s="220">
        <v>86228.217302271194</v>
      </c>
      <c r="M62" s="220">
        <v>105623.3</v>
      </c>
      <c r="N62" s="261">
        <v>85041</v>
      </c>
    </row>
    <row r="63" spans="2:14" x14ac:dyDescent="0.25">
      <c r="B63" s="219" t="s">
        <v>16</v>
      </c>
      <c r="C63" s="220" t="e">
        <f>#REF!</f>
        <v>#REF!</v>
      </c>
      <c r="D63" s="220" t="e">
        <f>#REF!</f>
        <v>#REF!</v>
      </c>
      <c r="E63" s="220" t="e">
        <f>#REF!</f>
        <v>#REF!</v>
      </c>
      <c r="F63" s="220" t="e">
        <f>#REF!</f>
        <v>#REF!</v>
      </c>
      <c r="G63" s="220" t="e">
        <f>#REF!</f>
        <v>#REF!</v>
      </c>
      <c r="H63" s="220" t="e">
        <f>#REF!</f>
        <v>#REF!</v>
      </c>
      <c r="I63" s="220" t="e">
        <f>#REF!</f>
        <v>#REF!</v>
      </c>
      <c r="J63" s="220">
        <v>0</v>
      </c>
      <c r="K63" s="220">
        <v>0</v>
      </c>
      <c r="L63" s="220">
        <v>0</v>
      </c>
      <c r="M63" s="220">
        <v>0</v>
      </c>
      <c r="N63" s="261">
        <v>0</v>
      </c>
    </row>
    <row r="64" spans="2:14" s="218" customFormat="1" x14ac:dyDescent="0.25">
      <c r="B64" s="249" t="s">
        <v>17</v>
      </c>
      <c r="C64" s="250" t="e">
        <f t="shared" ref="C64:I64" si="12">SUM(C54:C63)</f>
        <v>#REF!</v>
      </c>
      <c r="D64" s="250" t="e">
        <f t="shared" si="12"/>
        <v>#REF!</v>
      </c>
      <c r="E64" s="250" t="e">
        <f t="shared" si="12"/>
        <v>#REF!</v>
      </c>
      <c r="F64" s="250" t="e">
        <f t="shared" si="12"/>
        <v>#REF!</v>
      </c>
      <c r="G64" s="250" t="e">
        <f t="shared" si="12"/>
        <v>#REF!</v>
      </c>
      <c r="H64" s="250" t="e">
        <f t="shared" si="12"/>
        <v>#REF!</v>
      </c>
      <c r="I64" s="250" t="e">
        <f t="shared" si="12"/>
        <v>#REF!</v>
      </c>
      <c r="J64" s="250">
        <v>589812.4488642778</v>
      </c>
      <c r="K64" s="250">
        <v>587169.69999999995</v>
      </c>
      <c r="L64" s="250">
        <v>617132.52803937811</v>
      </c>
      <c r="M64" s="250">
        <v>656776.23499999999</v>
      </c>
      <c r="N64" s="270">
        <v>677694</v>
      </c>
    </row>
    <row r="65" spans="2:14" x14ac:dyDescent="0.25">
      <c r="C65" s="226"/>
      <c r="D65" s="226"/>
      <c r="E65" s="226"/>
      <c r="F65" s="226"/>
      <c r="G65" s="221"/>
      <c r="K65" s="221"/>
      <c r="L65" s="221"/>
      <c r="M65" s="221"/>
      <c r="N65" s="221"/>
    </row>
    <row r="66" spans="2:14" x14ac:dyDescent="0.25">
      <c r="C66" s="226"/>
      <c r="D66" s="226"/>
      <c r="E66" s="226"/>
      <c r="F66" s="226"/>
      <c r="G66" s="221"/>
      <c r="K66" s="221"/>
      <c r="L66" s="221"/>
      <c r="M66" s="221"/>
      <c r="N66" s="221"/>
    </row>
    <row r="67" spans="2:14" s="218" customFormat="1" hidden="1" x14ac:dyDescent="0.25">
      <c r="B67" s="215" t="s">
        <v>60</v>
      </c>
      <c r="C67" s="216">
        <v>40178</v>
      </c>
      <c r="D67" s="216">
        <v>40543</v>
      </c>
      <c r="E67" s="216">
        <v>40908</v>
      </c>
      <c r="F67" s="216">
        <v>41274</v>
      </c>
      <c r="G67" s="216">
        <v>41639</v>
      </c>
      <c r="H67" s="217">
        <v>2014</v>
      </c>
      <c r="I67" s="217">
        <v>2015</v>
      </c>
      <c r="J67" s="217">
        <v>2016</v>
      </c>
      <c r="K67" s="217">
        <v>2017</v>
      </c>
      <c r="L67" s="217">
        <v>2018</v>
      </c>
      <c r="M67" s="286">
        <v>2019</v>
      </c>
      <c r="N67" s="217">
        <v>2020</v>
      </c>
    </row>
    <row r="68" spans="2:14" hidden="1" x14ac:dyDescent="0.25">
      <c r="B68" s="219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N68" s="220"/>
    </row>
    <row r="69" spans="2:14" s="218" customFormat="1" hidden="1" x14ac:dyDescent="0.25">
      <c r="B69" s="282" t="s">
        <v>61</v>
      </c>
      <c r="C69" s="283">
        <v>33859</v>
      </c>
      <c r="D69" s="283">
        <v>84470</v>
      </c>
      <c r="E69" s="283">
        <v>133320</v>
      </c>
      <c r="F69" s="283">
        <v>89367</v>
      </c>
      <c r="G69" s="283">
        <v>64326.924398158502</v>
      </c>
      <c r="H69" s="284"/>
      <c r="I69" s="284"/>
      <c r="J69" s="284"/>
      <c r="K69" s="284"/>
      <c r="L69" s="284"/>
      <c r="M69" s="283"/>
      <c r="N69" s="284"/>
    </row>
    <row r="70" spans="2:14" hidden="1" x14ac:dyDescent="0.25">
      <c r="B70" s="276" t="s">
        <v>62</v>
      </c>
      <c r="C70" s="220"/>
      <c r="D70" s="220"/>
      <c r="E70" s="220"/>
      <c r="F70" s="220"/>
      <c r="G70" s="220"/>
      <c r="H70" s="279"/>
      <c r="I70" s="279"/>
      <c r="J70" s="279"/>
      <c r="K70" s="279"/>
      <c r="L70" s="279"/>
      <c r="N70" s="279"/>
    </row>
    <row r="71" spans="2:14" hidden="1" x14ac:dyDescent="0.25">
      <c r="B71" s="276" t="s">
        <v>195</v>
      </c>
      <c r="C71" s="220"/>
      <c r="D71" s="220"/>
      <c r="E71" s="220"/>
      <c r="F71" s="220"/>
      <c r="G71" s="220"/>
      <c r="H71" s="279"/>
      <c r="I71" s="279"/>
      <c r="J71" s="279"/>
      <c r="K71" s="279"/>
      <c r="L71" s="279"/>
      <c r="N71" s="279"/>
    </row>
    <row r="72" spans="2:14" hidden="1" x14ac:dyDescent="0.25">
      <c r="B72" s="276" t="s">
        <v>196</v>
      </c>
      <c r="C72" s="220"/>
      <c r="D72" s="220"/>
      <c r="E72" s="220"/>
      <c r="F72" s="220"/>
      <c r="G72" s="220"/>
      <c r="H72" s="279"/>
      <c r="I72" s="279"/>
      <c r="J72" s="279"/>
      <c r="K72" s="279"/>
      <c r="L72" s="279"/>
      <c r="N72" s="279"/>
    </row>
    <row r="73" spans="2:14" hidden="1" x14ac:dyDescent="0.25">
      <c r="B73" s="276" t="s">
        <v>197</v>
      </c>
      <c r="C73" s="220"/>
      <c r="D73" s="220"/>
      <c r="E73" s="220"/>
      <c r="F73" s="220"/>
      <c r="G73" s="220"/>
      <c r="H73" s="279"/>
      <c r="I73" s="279"/>
      <c r="J73" s="279"/>
      <c r="K73" s="279"/>
      <c r="L73" s="279"/>
      <c r="N73" s="279"/>
    </row>
    <row r="74" spans="2:14" hidden="1" x14ac:dyDescent="0.25">
      <c r="B74" s="276" t="s">
        <v>198</v>
      </c>
      <c r="C74" s="220"/>
      <c r="D74" s="220"/>
      <c r="E74" s="220"/>
      <c r="F74" s="220"/>
      <c r="G74" s="220"/>
      <c r="H74" s="279"/>
      <c r="I74" s="279"/>
      <c r="J74" s="279"/>
      <c r="K74" s="279"/>
      <c r="L74" s="279"/>
      <c r="N74" s="279"/>
    </row>
    <row r="75" spans="2:14" hidden="1" x14ac:dyDescent="0.25">
      <c r="B75" s="276" t="s">
        <v>199</v>
      </c>
      <c r="C75" s="220"/>
      <c r="D75" s="220"/>
      <c r="E75" s="220"/>
      <c r="F75" s="220"/>
      <c r="G75" s="220"/>
      <c r="H75" s="285"/>
      <c r="I75" s="285"/>
      <c r="J75" s="285"/>
      <c r="K75" s="285"/>
      <c r="L75" s="285"/>
      <c r="M75" s="221"/>
      <c r="N75" s="285"/>
    </row>
    <row r="76" spans="2:14" hidden="1" x14ac:dyDescent="0.25">
      <c r="B76" s="277" t="s">
        <v>200</v>
      </c>
      <c r="C76" s="220">
        <v>19288</v>
      </c>
      <c r="D76" s="220">
        <v>41896</v>
      </c>
      <c r="E76" s="220">
        <v>-18336</v>
      </c>
      <c r="F76" s="220">
        <v>27144</v>
      </c>
      <c r="G76" s="220">
        <v>-11039.01803384602</v>
      </c>
      <c r="H76" s="278">
        <f>H69+SUM(H70:H75)</f>
        <v>0</v>
      </c>
      <c r="I76" s="278">
        <f t="shared" ref="I76:M76" si="13">I69+SUM(I70:I75)</f>
        <v>0</v>
      </c>
      <c r="J76" s="278">
        <v>0</v>
      </c>
      <c r="K76" s="278">
        <v>0</v>
      </c>
      <c r="L76" s="278">
        <v>0</v>
      </c>
      <c r="M76" s="278">
        <v>0</v>
      </c>
      <c r="N76" s="278">
        <v>0</v>
      </c>
    </row>
    <row r="77" spans="2:14" hidden="1" x14ac:dyDescent="0.25">
      <c r="B77" s="227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N77" s="220"/>
    </row>
    <row r="78" spans="2:14" hidden="1" x14ac:dyDescent="0.25">
      <c r="B78" s="280" t="s">
        <v>201</v>
      </c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N78" s="220"/>
    </row>
    <row r="79" spans="2:14" s="218" customFormat="1" hidden="1" x14ac:dyDescent="0.25">
      <c r="B79" s="281" t="s">
        <v>202</v>
      </c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</row>
    <row r="80" spans="2:14" hidden="1" x14ac:dyDescent="0.25">
      <c r="B80" s="219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N80" s="220"/>
    </row>
    <row r="81" spans="2:14" s="218" customFormat="1" hidden="1" x14ac:dyDescent="0.25">
      <c r="B81" s="252" t="s">
        <v>177</v>
      </c>
      <c r="C81" s="253" t="e">
        <f>#REF!+#REF!-#REF!</f>
        <v>#REF!</v>
      </c>
      <c r="D81" s="254" t="e">
        <f>#REF!+#REF!-#REF!</f>
        <v>#REF!</v>
      </c>
      <c r="E81" s="254" t="e">
        <f>#REF!+#REF!-#REF!</f>
        <v>#REF!</v>
      </c>
      <c r="F81" s="254" t="e">
        <f>#REF!+#REF!-#REF!</f>
        <v>#REF!</v>
      </c>
      <c r="G81" s="254" t="e">
        <f>#REF!+#REF!-#REF!</f>
        <v>#REF!</v>
      </c>
      <c r="H81" s="254" t="e">
        <f>H56+H57+H62-H49</f>
        <v>#REF!</v>
      </c>
      <c r="I81" s="254" t="e">
        <f t="shared" ref="I81:M81" si="14">I56+I57+I62-I49</f>
        <v>#REF!</v>
      </c>
      <c r="J81" s="254">
        <v>153666.2301389807</v>
      </c>
      <c r="K81" s="254">
        <v>118542.70000000001</v>
      </c>
      <c r="L81" s="254">
        <v>158670.57328998516</v>
      </c>
      <c r="M81" s="242">
        <v>188870.69999999998</v>
      </c>
      <c r="N81" s="254">
        <v>190458</v>
      </c>
    </row>
    <row r="82" spans="2:14" hidden="1" x14ac:dyDescent="0.25">
      <c r="G82" s="221"/>
      <c r="K82" s="221"/>
      <c r="L82" s="221"/>
      <c r="M82" s="221"/>
      <c r="N82" s="221"/>
    </row>
    <row r="83" spans="2:14" hidden="1" x14ac:dyDescent="0.25">
      <c r="G83" s="221"/>
      <c r="K83" s="221"/>
      <c r="L83" s="221"/>
      <c r="M83" s="221"/>
      <c r="N83" s="221"/>
    </row>
    <row r="84" spans="2:14" s="218" customFormat="1" x14ac:dyDescent="0.25">
      <c r="B84" s="215" t="s">
        <v>63</v>
      </c>
      <c r="C84" s="216">
        <v>2009</v>
      </c>
      <c r="D84" s="216">
        <v>2010</v>
      </c>
      <c r="E84" s="216">
        <v>2011</v>
      </c>
      <c r="F84" s="216">
        <v>41274</v>
      </c>
      <c r="G84" s="216">
        <v>41639</v>
      </c>
      <c r="H84" s="217">
        <v>2014</v>
      </c>
      <c r="I84" s="217">
        <v>2015</v>
      </c>
      <c r="J84" s="217">
        <v>2016</v>
      </c>
      <c r="K84" s="217">
        <v>2017</v>
      </c>
      <c r="L84" s="217">
        <v>2018</v>
      </c>
      <c r="M84" s="217">
        <v>2019</v>
      </c>
      <c r="N84" s="260">
        <v>2020</v>
      </c>
    </row>
    <row r="85" spans="2:14" x14ac:dyDescent="0.25">
      <c r="B85" s="219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N85" s="261"/>
    </row>
    <row r="86" spans="2:14" x14ac:dyDescent="0.25">
      <c r="B86" s="222" t="s">
        <v>38</v>
      </c>
      <c r="C86" s="228" t="s">
        <v>91</v>
      </c>
      <c r="D86" s="229" t="e">
        <f t="shared" ref="D86:J87" si="15">((D4-C4)/C4)*100</f>
        <v>#REF!</v>
      </c>
      <c r="E86" s="229" t="e">
        <f t="shared" si="15"/>
        <v>#REF!</v>
      </c>
      <c r="F86" s="229" t="e">
        <f t="shared" si="15"/>
        <v>#REF!</v>
      </c>
      <c r="G86" s="229" t="e">
        <f t="shared" si="15"/>
        <v>#REF!</v>
      </c>
      <c r="H86" s="229" t="e">
        <f t="shared" si="15"/>
        <v>#REF!</v>
      </c>
      <c r="I86" s="229" t="e">
        <f t="shared" si="15"/>
        <v>#REF!</v>
      </c>
      <c r="J86" s="229">
        <v>6.2037581150660293</v>
      </c>
      <c r="K86" s="229">
        <v>14.46840904215459</v>
      </c>
      <c r="L86" s="229">
        <v>-11.21407266625631</v>
      </c>
      <c r="M86" s="229">
        <v>4.6098110075245122</v>
      </c>
      <c r="N86" s="263">
        <v>12.394337109282226</v>
      </c>
    </row>
    <row r="87" spans="2:14" x14ac:dyDescent="0.25">
      <c r="B87" s="222" t="s">
        <v>47</v>
      </c>
      <c r="C87" s="228" t="s">
        <v>91</v>
      </c>
      <c r="D87" s="229" t="e">
        <f t="shared" si="15"/>
        <v>#REF!</v>
      </c>
      <c r="E87" s="229" t="e">
        <f t="shared" si="15"/>
        <v>#REF!</v>
      </c>
      <c r="F87" s="229" t="e">
        <f t="shared" si="15"/>
        <v>#REF!</v>
      </c>
      <c r="G87" s="229" t="e">
        <f t="shared" si="15"/>
        <v>#REF!</v>
      </c>
      <c r="H87" s="229" t="e">
        <f t="shared" si="15"/>
        <v>#REF!</v>
      </c>
      <c r="I87" s="229" t="e">
        <f t="shared" si="15"/>
        <v>#REF!</v>
      </c>
      <c r="J87" s="229">
        <v>221.19503945885003</v>
      </c>
      <c r="K87" s="229">
        <v>159.77535977535976</v>
      </c>
      <c r="L87" s="229">
        <v>-8.8795462033709036</v>
      </c>
      <c r="M87" s="229">
        <v>-13.609855159100675</v>
      </c>
      <c r="N87" s="263">
        <v>-67.336079642979755</v>
      </c>
    </row>
    <row r="88" spans="2:14" x14ac:dyDescent="0.25">
      <c r="B88" s="222" t="s">
        <v>18</v>
      </c>
      <c r="C88" s="228" t="s">
        <v>91</v>
      </c>
      <c r="D88" s="229" t="e">
        <f>((D7-C7)/C7)*100</f>
        <v>#REF!</v>
      </c>
      <c r="E88" s="229" t="e">
        <f>((E7-D7)/D7)*100</f>
        <v>#REF!</v>
      </c>
      <c r="F88" s="229" t="e">
        <f t="shared" ref="F88:L88" si="16">((F7-E7)/E7)*100</f>
        <v>#REF!</v>
      </c>
      <c r="G88" s="230" t="s">
        <v>91</v>
      </c>
      <c r="H88" s="229" t="e">
        <f t="shared" si="16"/>
        <v>#REF!</v>
      </c>
      <c r="I88" s="229" t="e">
        <f t="shared" si="16"/>
        <v>#REF!</v>
      </c>
      <c r="J88" s="229">
        <v>-31.815044858523116</v>
      </c>
      <c r="K88" s="229">
        <v>-15.232793522267208</v>
      </c>
      <c r="L88" s="229">
        <v>-100</v>
      </c>
      <c r="M88" s="228" t="s">
        <v>91</v>
      </c>
      <c r="N88" s="269" t="s">
        <v>91</v>
      </c>
    </row>
    <row r="89" spans="2:14" x14ac:dyDescent="0.25">
      <c r="B89" s="290" t="s">
        <v>48</v>
      </c>
      <c r="C89" s="291" t="s">
        <v>91</v>
      </c>
      <c r="D89" s="292" t="e">
        <f>((D8-C8)/C8)*100</f>
        <v>#REF!</v>
      </c>
      <c r="E89" s="292" t="e">
        <f>((E8-D8)/D8)*100</f>
        <v>#REF!</v>
      </c>
      <c r="F89" s="292" t="e">
        <f t="shared" ref="F89:N89" si="17">((F8-E8)/E8)*100</f>
        <v>#REF!</v>
      </c>
      <c r="G89" s="292" t="e">
        <f t="shared" si="17"/>
        <v>#REF!</v>
      </c>
      <c r="H89" s="292" t="e">
        <f t="shared" si="17"/>
        <v>#REF!</v>
      </c>
      <c r="I89" s="292" t="e">
        <f t="shared" si="17"/>
        <v>#REF!</v>
      </c>
      <c r="J89" s="292">
        <v>2.7999309176084437</v>
      </c>
      <c r="K89" s="292">
        <v>14.817002730243129</v>
      </c>
      <c r="L89" s="292">
        <v>-14.107136696444108</v>
      </c>
      <c r="M89" s="292">
        <v>4.3481687003364415</v>
      </c>
      <c r="N89" s="293">
        <v>11.446418695960052</v>
      </c>
    </row>
    <row r="90" spans="2:14" x14ac:dyDescent="0.25">
      <c r="B90" s="222" t="s">
        <v>20</v>
      </c>
      <c r="C90" s="228" t="s">
        <v>91</v>
      </c>
      <c r="D90" s="229" t="e">
        <f t="shared" ref="D90:J93" si="18">((D10-C10)/C10)*100</f>
        <v>#REF!</v>
      </c>
      <c r="E90" s="229" t="e">
        <f t="shared" si="18"/>
        <v>#REF!</v>
      </c>
      <c r="F90" s="229" t="e">
        <f t="shared" si="18"/>
        <v>#REF!</v>
      </c>
      <c r="G90" s="229" t="e">
        <f t="shared" si="18"/>
        <v>#REF!</v>
      </c>
      <c r="H90" s="229" t="e">
        <f t="shared" si="18"/>
        <v>#REF!</v>
      </c>
      <c r="I90" s="229" t="e">
        <f t="shared" si="18"/>
        <v>#REF!</v>
      </c>
      <c r="J90" s="229">
        <v>-234.68931604827895</v>
      </c>
      <c r="K90" s="229">
        <v>-198.91802190507798</v>
      </c>
      <c r="L90" s="229">
        <v>-253.83070539156199</v>
      </c>
      <c r="M90" s="229">
        <v>96.302089869758561</v>
      </c>
      <c r="N90" s="263">
        <v>47.62222222222222</v>
      </c>
    </row>
    <row r="91" spans="2:14" x14ac:dyDescent="0.25">
      <c r="B91" s="222" t="s">
        <v>21</v>
      </c>
      <c r="C91" s="228" t="s">
        <v>91</v>
      </c>
      <c r="D91" s="229" t="e">
        <f t="shared" si="18"/>
        <v>#REF!</v>
      </c>
      <c r="E91" s="229" t="e">
        <f t="shared" si="18"/>
        <v>#REF!</v>
      </c>
      <c r="F91" s="229" t="e">
        <f t="shared" si="18"/>
        <v>#REF!</v>
      </c>
      <c r="G91" s="229" t="e">
        <f t="shared" si="18"/>
        <v>#REF!</v>
      </c>
      <c r="H91" s="229" t="e">
        <f t="shared" si="18"/>
        <v>#REF!</v>
      </c>
      <c r="I91" s="229" t="e">
        <f t="shared" si="18"/>
        <v>#REF!</v>
      </c>
      <c r="J91" s="229">
        <v>2.7189510645639245</v>
      </c>
      <c r="K91" s="229">
        <v>16.159546006014779</v>
      </c>
      <c r="L91" s="229">
        <v>-6.2916785472645991</v>
      </c>
      <c r="M91" s="229">
        <v>3.8958567373590798</v>
      </c>
      <c r="N91" s="263">
        <v>6.4223838194645859</v>
      </c>
    </row>
    <row r="92" spans="2:14" x14ac:dyDescent="0.25">
      <c r="B92" s="222" t="s">
        <v>22</v>
      </c>
      <c r="C92" s="228" t="s">
        <v>91</v>
      </c>
      <c r="D92" s="229" t="e">
        <f t="shared" si="18"/>
        <v>#REF!</v>
      </c>
      <c r="E92" s="229" t="e">
        <f t="shared" si="18"/>
        <v>#REF!</v>
      </c>
      <c r="F92" s="229" t="e">
        <f t="shared" si="18"/>
        <v>#REF!</v>
      </c>
      <c r="G92" s="229" t="e">
        <f t="shared" si="18"/>
        <v>#REF!</v>
      </c>
      <c r="H92" s="229" t="e">
        <f t="shared" si="18"/>
        <v>#REF!</v>
      </c>
      <c r="I92" s="229" t="e">
        <f t="shared" si="18"/>
        <v>#REF!</v>
      </c>
      <c r="J92" s="229">
        <v>-7.3949381680989319</v>
      </c>
      <c r="K92" s="229">
        <v>4.3139862217255462</v>
      </c>
      <c r="L92" s="229">
        <v>8.1053668064037812</v>
      </c>
      <c r="M92" s="229">
        <v>-8.3852883599547035</v>
      </c>
      <c r="N92" s="263">
        <v>5.9096572782166961</v>
      </c>
    </row>
    <row r="93" spans="2:14" x14ac:dyDescent="0.25">
      <c r="B93" s="222" t="s">
        <v>23</v>
      </c>
      <c r="C93" s="228" t="s">
        <v>91</v>
      </c>
      <c r="D93" s="229" t="e">
        <f t="shared" si="18"/>
        <v>#REF!</v>
      </c>
      <c r="E93" s="229" t="e">
        <f t="shared" si="18"/>
        <v>#REF!</v>
      </c>
      <c r="F93" s="229" t="e">
        <f t="shared" si="18"/>
        <v>#REF!</v>
      </c>
      <c r="G93" s="229" t="e">
        <f t="shared" si="18"/>
        <v>#REF!</v>
      </c>
      <c r="H93" s="229" t="e">
        <f t="shared" si="18"/>
        <v>#REF!</v>
      </c>
      <c r="I93" s="229" t="e">
        <f t="shared" si="18"/>
        <v>#REF!</v>
      </c>
      <c r="J93" s="229">
        <v>-51.631778919789525</v>
      </c>
      <c r="K93" s="229">
        <v>-21.275927641971052</v>
      </c>
      <c r="L93" s="229">
        <v>-527.38343020056698</v>
      </c>
      <c r="M93" s="229">
        <v>-10.691090884517754</v>
      </c>
      <c r="N93" s="263">
        <v>-91.792531120331958</v>
      </c>
    </row>
    <row r="94" spans="2:14" hidden="1" x14ac:dyDescent="0.25">
      <c r="B94" s="222" t="s">
        <v>24</v>
      </c>
      <c r="C94" s="228" t="s">
        <v>91</v>
      </c>
      <c r="D94" s="228" t="s">
        <v>91</v>
      </c>
      <c r="E94" s="228" t="s">
        <v>91</v>
      </c>
      <c r="F94" s="228" t="s">
        <v>91</v>
      </c>
      <c r="G94" s="228" t="s">
        <v>91</v>
      </c>
      <c r="H94" s="228" t="s">
        <v>91</v>
      </c>
      <c r="I94" s="228" t="s">
        <v>91</v>
      </c>
      <c r="J94" s="228" t="s">
        <v>91</v>
      </c>
      <c r="K94" s="228" t="s">
        <v>91</v>
      </c>
      <c r="L94" s="228" t="s">
        <v>91</v>
      </c>
      <c r="M94" s="228" t="s">
        <v>91</v>
      </c>
      <c r="N94" s="269" t="s">
        <v>91</v>
      </c>
    </row>
    <row r="95" spans="2:14" x14ac:dyDescent="0.25">
      <c r="B95" s="290" t="s">
        <v>49</v>
      </c>
      <c r="C95" s="291" t="s">
        <v>91</v>
      </c>
      <c r="D95" s="292" t="e">
        <f t="shared" ref="D95:J95" si="19">((D15-C15)/C15)*100</f>
        <v>#REF!</v>
      </c>
      <c r="E95" s="292" t="e">
        <f t="shared" si="19"/>
        <v>#REF!</v>
      </c>
      <c r="F95" s="292" t="e">
        <f t="shared" si="19"/>
        <v>#REF!</v>
      </c>
      <c r="G95" s="292" t="e">
        <f t="shared" si="19"/>
        <v>#REF!</v>
      </c>
      <c r="H95" s="292" t="e">
        <f t="shared" si="19"/>
        <v>#REF!</v>
      </c>
      <c r="I95" s="292" t="e">
        <f t="shared" si="19"/>
        <v>#REF!</v>
      </c>
      <c r="J95" s="292">
        <v>8.1406088565137651</v>
      </c>
      <c r="K95" s="292">
        <v>23.009892440505592</v>
      </c>
      <c r="L95" s="292">
        <v>-31.040696784063165</v>
      </c>
      <c r="M95" s="292">
        <v>8.5241911467401934</v>
      </c>
      <c r="N95" s="293">
        <v>13.48177805000112</v>
      </c>
    </row>
    <row r="96" spans="2:14" x14ac:dyDescent="0.25">
      <c r="B96" s="222" t="s">
        <v>50</v>
      </c>
      <c r="C96" s="228" t="s">
        <v>91</v>
      </c>
      <c r="D96" s="229" t="e">
        <f t="shared" ref="D96:J98" si="20">((D18-C18)/C18)*100</f>
        <v>#REF!</v>
      </c>
      <c r="E96" s="229" t="e">
        <f t="shared" si="20"/>
        <v>#REF!</v>
      </c>
      <c r="F96" s="229" t="e">
        <f t="shared" si="20"/>
        <v>#REF!</v>
      </c>
      <c r="G96" s="229" t="e">
        <f t="shared" si="20"/>
        <v>#REF!</v>
      </c>
      <c r="H96" s="229" t="e">
        <f t="shared" si="20"/>
        <v>#REF!</v>
      </c>
      <c r="I96" s="229" t="e">
        <f t="shared" si="20"/>
        <v>#REF!</v>
      </c>
      <c r="J96" s="229">
        <v>0.33197002674805692</v>
      </c>
      <c r="K96" s="229">
        <v>5.1050386764190581</v>
      </c>
      <c r="L96" s="229">
        <v>-1.9984589781754967</v>
      </c>
      <c r="M96" s="229">
        <v>7.6805162230942834</v>
      </c>
      <c r="N96" s="263">
        <v>-2.5641025641025639</v>
      </c>
    </row>
    <row r="97" spans="2:14" x14ac:dyDescent="0.25">
      <c r="B97" s="222" t="s">
        <v>25</v>
      </c>
      <c r="C97" s="228" t="s">
        <v>91</v>
      </c>
      <c r="D97" s="229" t="e">
        <f t="shared" si="20"/>
        <v>#REF!</v>
      </c>
      <c r="E97" s="229" t="e">
        <f t="shared" si="20"/>
        <v>#REF!</v>
      </c>
      <c r="F97" s="229" t="e">
        <f t="shared" si="20"/>
        <v>#REF!</v>
      </c>
      <c r="G97" s="229" t="e">
        <f t="shared" si="20"/>
        <v>#REF!</v>
      </c>
      <c r="H97" s="229" t="e">
        <f t="shared" si="20"/>
        <v>#REF!</v>
      </c>
      <c r="I97" s="229" t="e">
        <f t="shared" si="20"/>
        <v>#REF!</v>
      </c>
      <c r="J97" s="229">
        <v>-4.0798881234574882</v>
      </c>
      <c r="K97" s="229">
        <v>1.595436947441033</v>
      </c>
      <c r="L97" s="229">
        <v>6.4021576093227184</v>
      </c>
      <c r="M97" s="229">
        <v>11.090477804134192</v>
      </c>
      <c r="N97" s="263">
        <v>1.4446600046365778</v>
      </c>
    </row>
    <row r="98" spans="2:14" x14ac:dyDescent="0.25">
      <c r="B98" s="290" t="s">
        <v>51</v>
      </c>
      <c r="C98" s="291" t="s">
        <v>91</v>
      </c>
      <c r="D98" s="292" t="e">
        <f t="shared" si="20"/>
        <v>#REF!</v>
      </c>
      <c r="E98" s="292" t="e">
        <f t="shared" si="20"/>
        <v>#REF!</v>
      </c>
      <c r="F98" s="292" t="e">
        <f t="shared" si="20"/>
        <v>#REF!</v>
      </c>
      <c r="G98" s="292" t="e">
        <f t="shared" si="20"/>
        <v>#REF!</v>
      </c>
      <c r="H98" s="292" t="e">
        <f t="shared" si="20"/>
        <v>#REF!</v>
      </c>
      <c r="I98" s="292" t="e">
        <f t="shared" si="20"/>
        <v>#REF!</v>
      </c>
      <c r="J98" s="292">
        <v>25.554971195689539</v>
      </c>
      <c r="K98" s="292">
        <v>46.982477345184783</v>
      </c>
      <c r="L98" s="292">
        <v>-59.894008382706076</v>
      </c>
      <c r="M98" s="292">
        <v>3.9954783706646944</v>
      </c>
      <c r="N98" s="293">
        <v>41.151739381126276</v>
      </c>
    </row>
    <row r="99" spans="2:14" x14ac:dyDescent="0.25">
      <c r="B99" s="222" t="s">
        <v>52</v>
      </c>
      <c r="C99" s="228" t="s">
        <v>91</v>
      </c>
      <c r="D99" s="229" t="e">
        <f t="shared" ref="D99:N103" si="21">((D23-C23)/C23)*100</f>
        <v>#REF!</v>
      </c>
      <c r="E99" s="229" t="e">
        <f t="shared" si="21"/>
        <v>#REF!</v>
      </c>
      <c r="F99" s="229" t="e">
        <f t="shared" si="21"/>
        <v>#REF!</v>
      </c>
      <c r="G99" s="229" t="e">
        <f t="shared" si="21"/>
        <v>#REF!</v>
      </c>
      <c r="H99" s="229" t="e">
        <f t="shared" si="21"/>
        <v>#REF!</v>
      </c>
      <c r="I99" s="229" t="e">
        <f t="shared" si="21"/>
        <v>#REF!</v>
      </c>
      <c r="J99" s="229">
        <v>-1.7467979912017779</v>
      </c>
      <c r="K99" s="229">
        <v>-3.2799356533522435</v>
      </c>
      <c r="L99" s="229">
        <v>-1.1278570839803486</v>
      </c>
      <c r="M99" s="229">
        <v>-5.4084295457019387</v>
      </c>
      <c r="N99" s="263">
        <v>12.037529812942257</v>
      </c>
    </row>
    <row r="100" spans="2:14" x14ac:dyDescent="0.25">
      <c r="B100" s="222" t="s">
        <v>53</v>
      </c>
      <c r="C100" s="228" t="s">
        <v>91</v>
      </c>
      <c r="D100" s="229" t="e">
        <f t="shared" si="21"/>
        <v>#REF!</v>
      </c>
      <c r="E100" s="229" t="e">
        <f t="shared" si="21"/>
        <v>#REF!</v>
      </c>
      <c r="F100" s="229" t="e">
        <f t="shared" si="21"/>
        <v>#REF!</v>
      </c>
      <c r="G100" s="229" t="e">
        <f t="shared" si="21"/>
        <v>#REF!</v>
      </c>
      <c r="H100" s="229" t="e">
        <f t="shared" si="21"/>
        <v>#REF!</v>
      </c>
      <c r="I100" s="229" t="e">
        <f t="shared" si="21"/>
        <v>#REF!</v>
      </c>
      <c r="J100" s="229">
        <v>-56.446427197907859</v>
      </c>
      <c r="K100" s="229">
        <v>-26.409296411415649</v>
      </c>
      <c r="L100" s="229">
        <v>-3.1315909453777291</v>
      </c>
      <c r="M100" s="229">
        <v>6.0075064506304798</v>
      </c>
      <c r="N100" s="263">
        <v>365.97335826127602</v>
      </c>
    </row>
    <row r="101" spans="2:14" x14ac:dyDescent="0.25">
      <c r="B101" s="222" t="s">
        <v>26</v>
      </c>
      <c r="C101" s="228" t="s">
        <v>91</v>
      </c>
      <c r="D101" s="229" t="e">
        <f t="shared" si="21"/>
        <v>#REF!</v>
      </c>
      <c r="E101" s="229" t="e">
        <f t="shared" si="21"/>
        <v>#REF!</v>
      </c>
      <c r="F101" s="229" t="e">
        <f t="shared" si="21"/>
        <v>#REF!</v>
      </c>
      <c r="G101" s="229" t="e">
        <f t="shared" si="21"/>
        <v>#REF!</v>
      </c>
      <c r="H101" s="229" t="e">
        <f t="shared" si="21"/>
        <v>#REF!</v>
      </c>
      <c r="I101" s="229" t="e">
        <f t="shared" si="21"/>
        <v>#REF!</v>
      </c>
      <c r="J101" s="229">
        <v>-26.516853932584265</v>
      </c>
      <c r="K101" s="229">
        <v>-92.237120677487653</v>
      </c>
      <c r="L101" s="229">
        <v>89.979405729478032</v>
      </c>
      <c r="M101" s="229">
        <v>1655.3736796067024</v>
      </c>
      <c r="N101" s="263">
        <v>-60.88141753748296</v>
      </c>
    </row>
    <row r="102" spans="2:14" x14ac:dyDescent="0.25">
      <c r="B102" s="290" t="s">
        <v>27</v>
      </c>
      <c r="C102" s="291" t="s">
        <v>91</v>
      </c>
      <c r="D102" s="292" t="e">
        <f t="shared" si="21"/>
        <v>#REF!</v>
      </c>
      <c r="E102" s="292" t="e">
        <f t="shared" si="21"/>
        <v>#REF!</v>
      </c>
      <c r="F102" s="292" t="e">
        <f t="shared" si="21"/>
        <v>#REF!</v>
      </c>
      <c r="G102" s="292" t="e">
        <f t="shared" si="21"/>
        <v>#REF!</v>
      </c>
      <c r="H102" s="292" t="e">
        <f t="shared" si="21"/>
        <v>#REF!</v>
      </c>
      <c r="I102" s="292" t="e">
        <f t="shared" si="21"/>
        <v>#REF!</v>
      </c>
      <c r="J102" s="292">
        <v>37.542690067179066</v>
      </c>
      <c r="K102" s="292">
        <v>123.03101769655838</v>
      </c>
      <c r="L102" s="292">
        <v>-107.16097587706039</v>
      </c>
      <c r="M102" s="292">
        <v>-217.35675445785643</v>
      </c>
      <c r="N102" s="293">
        <v>529.84091447269338</v>
      </c>
    </row>
    <row r="103" spans="2:14" x14ac:dyDescent="0.25">
      <c r="B103" s="222" t="s">
        <v>176</v>
      </c>
      <c r="C103" s="228" t="s">
        <v>91</v>
      </c>
      <c r="D103" s="229" t="e">
        <f t="shared" si="21"/>
        <v>#REF!</v>
      </c>
      <c r="E103" s="229" t="e">
        <f t="shared" si="21"/>
        <v>#REF!</v>
      </c>
      <c r="F103" s="229" t="e">
        <f t="shared" si="21"/>
        <v>#REF!</v>
      </c>
      <c r="G103" s="229" t="e">
        <f t="shared" si="21"/>
        <v>#REF!</v>
      </c>
      <c r="H103" s="229" t="e">
        <f t="shared" si="21"/>
        <v>#REF!</v>
      </c>
      <c r="I103" s="229" t="e">
        <f t="shared" si="21"/>
        <v>#REF!</v>
      </c>
      <c r="J103" s="229">
        <v>29.508307905788982</v>
      </c>
      <c r="K103" s="229">
        <v>94.8406722543196</v>
      </c>
      <c r="L103" s="229">
        <v>-108.06544020218712</v>
      </c>
      <c r="M103" s="229">
        <v>-212.18522749210877</v>
      </c>
      <c r="N103" s="263">
        <v>460.3849185571442</v>
      </c>
    </row>
    <row r="104" spans="2:14" x14ac:dyDescent="0.25">
      <c r="B104" s="222" t="s">
        <v>28</v>
      </c>
      <c r="C104" s="228" t="s">
        <v>91</v>
      </c>
      <c r="D104" s="229" t="e">
        <f t="shared" ref="D104:J109" si="22">((D30-C30)/C30)*100</f>
        <v>#REF!</v>
      </c>
      <c r="E104" s="229" t="e">
        <f t="shared" si="22"/>
        <v>#REF!</v>
      </c>
      <c r="F104" s="229" t="e">
        <f t="shared" si="22"/>
        <v>#REF!</v>
      </c>
      <c r="G104" s="229" t="e">
        <f t="shared" si="22"/>
        <v>#REF!</v>
      </c>
      <c r="H104" s="229" t="e">
        <f t="shared" si="22"/>
        <v>#REF!</v>
      </c>
      <c r="I104" s="229" t="e">
        <f t="shared" si="22"/>
        <v>#REF!</v>
      </c>
      <c r="J104" s="229">
        <v>-41.118609751982461</v>
      </c>
      <c r="K104" s="229">
        <v>19.702570274219905</v>
      </c>
      <c r="L104" s="229">
        <v>32.423698384201074</v>
      </c>
      <c r="M104" s="229">
        <v>22.175524222704265</v>
      </c>
      <c r="N104" s="263">
        <v>8.9846495283891255</v>
      </c>
    </row>
    <row r="105" spans="2:14" x14ac:dyDescent="0.25">
      <c r="B105" s="222" t="s">
        <v>54</v>
      </c>
      <c r="C105" s="228" t="s">
        <v>91</v>
      </c>
      <c r="D105" s="229" t="e">
        <f t="shared" si="22"/>
        <v>#REF!</v>
      </c>
      <c r="E105" s="229" t="e">
        <f t="shared" si="22"/>
        <v>#REF!</v>
      </c>
      <c r="F105" s="229" t="e">
        <f t="shared" si="22"/>
        <v>#REF!</v>
      </c>
      <c r="G105" s="229" t="e">
        <f t="shared" si="22"/>
        <v>#REF!</v>
      </c>
      <c r="H105" s="229" t="e">
        <f t="shared" si="22"/>
        <v>#REF!</v>
      </c>
      <c r="I105" s="229" t="e">
        <f t="shared" si="22"/>
        <v>#REF!</v>
      </c>
      <c r="J105" s="229">
        <v>-466.97247706422019</v>
      </c>
      <c r="K105" s="229">
        <v>-458.9</v>
      </c>
      <c r="L105" s="229">
        <v>-42.463081638339368</v>
      </c>
      <c r="M105" s="229">
        <v>441.88861985472158</v>
      </c>
      <c r="N105" s="263">
        <v>-79.177837354781062</v>
      </c>
    </row>
    <row r="106" spans="2:14" x14ac:dyDescent="0.25">
      <c r="B106" s="222" t="s">
        <v>55</v>
      </c>
      <c r="C106" s="228" t="s">
        <v>91</v>
      </c>
      <c r="D106" s="229" t="e">
        <f t="shared" si="22"/>
        <v>#REF!</v>
      </c>
      <c r="E106" s="229" t="e">
        <f t="shared" si="22"/>
        <v>#REF!</v>
      </c>
      <c r="F106" s="229" t="e">
        <f t="shared" si="22"/>
        <v>#REF!</v>
      </c>
      <c r="G106" s="229" t="e">
        <f t="shared" si="22"/>
        <v>#REF!</v>
      </c>
      <c r="H106" s="229" t="e">
        <f t="shared" si="22"/>
        <v>#REF!</v>
      </c>
      <c r="I106" s="229" t="e">
        <f t="shared" si="22"/>
        <v>#REF!</v>
      </c>
      <c r="J106" s="229">
        <v>148.5142066270455</v>
      </c>
      <c r="K106" s="229">
        <v>134.15233415233416</v>
      </c>
      <c r="L106" s="229">
        <v>-87.715984610003488</v>
      </c>
      <c r="M106" s="229">
        <v>-55.011389521640083</v>
      </c>
      <c r="N106" s="263">
        <v>484.43037974683546</v>
      </c>
    </row>
    <row r="107" spans="2:14" x14ac:dyDescent="0.25">
      <c r="B107" s="222" t="s">
        <v>29</v>
      </c>
      <c r="C107" s="228" t="s">
        <v>91</v>
      </c>
      <c r="D107" s="229" t="e">
        <f t="shared" si="22"/>
        <v>#REF!</v>
      </c>
      <c r="E107" s="229" t="e">
        <f t="shared" si="22"/>
        <v>#REF!</v>
      </c>
      <c r="F107" s="229" t="e">
        <f t="shared" si="22"/>
        <v>#REF!</v>
      </c>
      <c r="G107" s="229" t="e">
        <f t="shared" si="22"/>
        <v>#REF!</v>
      </c>
      <c r="H107" s="229" t="e">
        <f t="shared" si="22"/>
        <v>#REF!</v>
      </c>
      <c r="I107" s="229" t="e">
        <f t="shared" si="22"/>
        <v>#REF!</v>
      </c>
      <c r="J107" s="229">
        <v>-4.6038887615291211</v>
      </c>
      <c r="K107" s="229">
        <v>-47.078097589323576</v>
      </c>
      <c r="L107" s="229">
        <v>-19.230769230769234</v>
      </c>
      <c r="M107" s="229">
        <v>15.83333333333333</v>
      </c>
      <c r="N107" s="263">
        <v>-110.27749229188078</v>
      </c>
    </row>
    <row r="108" spans="2:14" x14ac:dyDescent="0.25">
      <c r="B108" s="222" t="s">
        <v>56</v>
      </c>
      <c r="C108" s="228" t="s">
        <v>91</v>
      </c>
      <c r="D108" s="229" t="e">
        <f t="shared" si="22"/>
        <v>#REF!</v>
      </c>
      <c r="E108" s="229" t="e">
        <f t="shared" si="22"/>
        <v>#REF!</v>
      </c>
      <c r="F108" s="229" t="e">
        <f t="shared" si="22"/>
        <v>#REF!</v>
      </c>
      <c r="G108" s="229" t="e">
        <f t="shared" si="22"/>
        <v>#REF!</v>
      </c>
      <c r="H108" s="229" t="e">
        <f t="shared" si="22"/>
        <v>#REF!</v>
      </c>
      <c r="I108" s="229" t="e">
        <f t="shared" si="22"/>
        <v>#REF!</v>
      </c>
      <c r="J108" s="229">
        <v>-5.3568678217903356</v>
      </c>
      <c r="K108" s="229">
        <v>-5.0532192355294328</v>
      </c>
      <c r="L108" s="229">
        <v>-7.6073098172545688</v>
      </c>
      <c r="M108" s="229">
        <v>136.82152713891443</v>
      </c>
      <c r="N108" s="263">
        <v>-75.060697290472959</v>
      </c>
    </row>
    <row r="109" spans="2:14" x14ac:dyDescent="0.25">
      <c r="B109" s="290" t="s">
        <v>30</v>
      </c>
      <c r="C109" s="291" t="s">
        <v>91</v>
      </c>
      <c r="D109" s="292" t="e">
        <f t="shared" si="22"/>
        <v>#REF!</v>
      </c>
      <c r="E109" s="292" t="e">
        <f t="shared" si="22"/>
        <v>#REF!</v>
      </c>
      <c r="F109" s="292" t="e">
        <f t="shared" si="22"/>
        <v>#REF!</v>
      </c>
      <c r="G109" s="292" t="e">
        <f t="shared" si="22"/>
        <v>#REF!</v>
      </c>
      <c r="H109" s="292" t="e">
        <f t="shared" si="22"/>
        <v>#REF!</v>
      </c>
      <c r="I109" s="292" t="e">
        <f t="shared" si="22"/>
        <v>#REF!</v>
      </c>
      <c r="J109" s="292">
        <v>1242.4487571565894</v>
      </c>
      <c r="K109" s="292">
        <v>208.57715848286838</v>
      </c>
      <c r="L109" s="292">
        <v>-164.97086067871325</v>
      </c>
      <c r="M109" s="292">
        <v>-10.479455618277214</v>
      </c>
      <c r="N109" s="293">
        <v>-145.39213357511571</v>
      </c>
    </row>
    <row r="110" spans="2:14" x14ac:dyDescent="0.25">
      <c r="B110" s="222" t="s">
        <v>31</v>
      </c>
      <c r="C110" s="228" t="s">
        <v>91</v>
      </c>
      <c r="D110" s="229" t="e">
        <f t="shared" ref="D110:J111" si="23">((D38-C38)/C38)*100</f>
        <v>#REF!</v>
      </c>
      <c r="E110" s="229" t="e">
        <f t="shared" si="23"/>
        <v>#REF!</v>
      </c>
      <c r="F110" s="229" t="e">
        <f t="shared" si="23"/>
        <v>#REF!</v>
      </c>
      <c r="G110" s="229" t="e">
        <f t="shared" si="23"/>
        <v>#REF!</v>
      </c>
      <c r="H110" s="229" t="e">
        <f t="shared" si="23"/>
        <v>#REF!</v>
      </c>
      <c r="I110" s="229" t="e">
        <f t="shared" si="23"/>
        <v>#REF!</v>
      </c>
      <c r="J110" s="229">
        <v>81.273575544962469</v>
      </c>
      <c r="K110" s="229">
        <v>287.56778465273294</v>
      </c>
      <c r="L110" s="229">
        <v>-121.0689839312588</v>
      </c>
      <c r="M110" s="229">
        <v>5.3686635944700463</v>
      </c>
      <c r="N110" s="263">
        <v>-188.97878854143889</v>
      </c>
    </row>
    <row r="111" spans="2:14" x14ac:dyDescent="0.25">
      <c r="B111" s="294" t="s">
        <v>32</v>
      </c>
      <c r="C111" s="295" t="s">
        <v>91</v>
      </c>
      <c r="D111" s="296" t="e">
        <f t="shared" si="23"/>
        <v>#REF!</v>
      </c>
      <c r="E111" s="296" t="e">
        <f t="shared" si="23"/>
        <v>#REF!</v>
      </c>
      <c r="F111" s="296" t="e">
        <f t="shared" si="23"/>
        <v>#REF!</v>
      </c>
      <c r="G111" s="296" t="e">
        <f t="shared" si="23"/>
        <v>#REF!</v>
      </c>
      <c r="H111" s="296" t="e">
        <f t="shared" si="23"/>
        <v>#REF!</v>
      </c>
      <c r="I111" s="296" t="e">
        <f t="shared" si="23"/>
        <v>#REF!</v>
      </c>
      <c r="J111" s="296">
        <v>-294.20751314729779</v>
      </c>
      <c r="K111" s="296">
        <v>110.98284617579679</v>
      </c>
      <c r="L111" s="296">
        <v>-264.57676417281147</v>
      </c>
      <c r="M111" s="296">
        <v>-15.080026147977591</v>
      </c>
      <c r="N111" s="297">
        <v>-129.68623154708888</v>
      </c>
    </row>
    <row r="112" spans="2:14" x14ac:dyDescent="0.25">
      <c r="B112" s="221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</row>
    <row r="113" spans="2:14" x14ac:dyDescent="0.25"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</row>
    <row r="114" spans="2:14" s="218" customFormat="1" x14ac:dyDescent="0.25">
      <c r="B114" s="215" t="s">
        <v>64</v>
      </c>
      <c r="C114" s="216">
        <v>40178</v>
      </c>
      <c r="D114" s="216">
        <v>40543</v>
      </c>
      <c r="E114" s="216">
        <v>40908</v>
      </c>
      <c r="F114" s="216">
        <v>41274</v>
      </c>
      <c r="G114" s="216">
        <v>41639</v>
      </c>
      <c r="H114" s="217">
        <v>2014</v>
      </c>
      <c r="I114" s="217">
        <v>2015</v>
      </c>
      <c r="J114" s="217">
        <v>2016</v>
      </c>
      <c r="K114" s="217">
        <v>2017</v>
      </c>
      <c r="L114" s="217">
        <v>2018</v>
      </c>
      <c r="M114" s="217">
        <v>2019</v>
      </c>
      <c r="N114" s="260">
        <v>2020</v>
      </c>
    </row>
    <row r="115" spans="2:14" x14ac:dyDescent="0.25">
      <c r="B115" s="219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N115" s="261"/>
    </row>
    <row r="116" spans="2:14" x14ac:dyDescent="0.25">
      <c r="B116" s="222" t="s">
        <v>1</v>
      </c>
      <c r="C116" s="230" t="s">
        <v>91</v>
      </c>
      <c r="D116" s="229" t="e">
        <f t="shared" ref="D116:G122" si="24">((D44-C44)/C44)*100</f>
        <v>#REF!</v>
      </c>
      <c r="E116" s="229" t="e">
        <f t="shared" si="24"/>
        <v>#REF!</v>
      </c>
      <c r="F116" s="229" t="e">
        <f t="shared" si="24"/>
        <v>#REF!</v>
      </c>
      <c r="G116" s="229" t="e">
        <f t="shared" si="24"/>
        <v>#REF!</v>
      </c>
      <c r="H116" s="229" t="e">
        <f t="shared" ref="H116:H122" si="25">((H44-G44)/G44)*100</f>
        <v>#REF!</v>
      </c>
      <c r="I116" s="229" t="e">
        <f t="shared" ref="I116:I122" si="26">((I44-H44)/H44)*100</f>
        <v>#REF!</v>
      </c>
      <c r="J116" s="229">
        <v>-7.3632512278333895</v>
      </c>
      <c r="K116" s="229">
        <v>-15.747298555182324</v>
      </c>
      <c r="L116" s="229">
        <v>-6.6408876933422993</v>
      </c>
      <c r="M116" s="229">
        <v>-10.545136477065164</v>
      </c>
      <c r="N116" s="263">
        <v>-8.5758656390199022</v>
      </c>
    </row>
    <row r="117" spans="2:14" x14ac:dyDescent="0.25">
      <c r="B117" s="222" t="s">
        <v>2</v>
      </c>
      <c r="C117" s="230" t="s">
        <v>91</v>
      </c>
      <c r="D117" s="229" t="e">
        <f t="shared" si="24"/>
        <v>#REF!</v>
      </c>
      <c r="E117" s="229" t="e">
        <f t="shared" si="24"/>
        <v>#REF!</v>
      </c>
      <c r="F117" s="229" t="e">
        <f t="shared" si="24"/>
        <v>#REF!</v>
      </c>
      <c r="G117" s="229" t="e">
        <f t="shared" si="24"/>
        <v>#REF!</v>
      </c>
      <c r="H117" s="229" t="e">
        <f t="shared" si="25"/>
        <v>#REF!</v>
      </c>
      <c r="I117" s="229" t="e">
        <f t="shared" si="26"/>
        <v>#REF!</v>
      </c>
      <c r="J117" s="229">
        <v>-2.528453162619245</v>
      </c>
      <c r="K117" s="229">
        <v>-2.1418449531706467</v>
      </c>
      <c r="L117" s="229">
        <v>3.1153730269509126</v>
      </c>
      <c r="M117" s="229">
        <v>3.3274595919389611</v>
      </c>
      <c r="N117" s="263">
        <v>0.48823982617277112</v>
      </c>
    </row>
    <row r="118" spans="2:14" x14ac:dyDescent="0.25">
      <c r="B118" s="222" t="s">
        <v>3</v>
      </c>
      <c r="C118" s="230" t="s">
        <v>91</v>
      </c>
      <c r="D118" s="229" t="e">
        <f t="shared" si="24"/>
        <v>#REF!</v>
      </c>
      <c r="E118" s="229" t="e">
        <f t="shared" si="24"/>
        <v>#REF!</v>
      </c>
      <c r="F118" s="229" t="e">
        <f t="shared" si="24"/>
        <v>#REF!</v>
      </c>
      <c r="G118" s="229" t="e">
        <f t="shared" si="24"/>
        <v>#REF!</v>
      </c>
      <c r="H118" s="229" t="e">
        <f t="shared" si="25"/>
        <v>#REF!</v>
      </c>
      <c r="I118" s="229" t="e">
        <f t="shared" si="26"/>
        <v>#REF!</v>
      </c>
      <c r="J118" s="229">
        <v>-5.7183798294094004</v>
      </c>
      <c r="K118" s="229">
        <v>-34.271413468553206</v>
      </c>
      <c r="L118" s="229">
        <v>29.218019549511265</v>
      </c>
      <c r="M118" s="229">
        <v>14.907087650057557</v>
      </c>
      <c r="N118" s="263">
        <v>6.5760286225402504</v>
      </c>
    </row>
    <row r="119" spans="2:14" x14ac:dyDescent="0.25">
      <c r="B119" s="222" t="s">
        <v>4</v>
      </c>
      <c r="C119" s="230" t="s">
        <v>91</v>
      </c>
      <c r="D119" s="229" t="e">
        <f t="shared" si="24"/>
        <v>#REF!</v>
      </c>
      <c r="E119" s="229" t="e">
        <f t="shared" si="24"/>
        <v>#REF!</v>
      </c>
      <c r="F119" s="229" t="e">
        <f t="shared" si="24"/>
        <v>#REF!</v>
      </c>
      <c r="G119" s="229" t="e">
        <f t="shared" si="24"/>
        <v>#REF!</v>
      </c>
      <c r="H119" s="229" t="e">
        <f t="shared" si="25"/>
        <v>#REF!</v>
      </c>
      <c r="I119" s="229" t="e">
        <f t="shared" si="26"/>
        <v>#REF!</v>
      </c>
      <c r="J119" s="229">
        <v>-3.9017438445465138</v>
      </c>
      <c r="K119" s="229">
        <v>14.757662902433893</v>
      </c>
      <c r="L119" s="229">
        <v>12.307141547408035</v>
      </c>
      <c r="M119" s="229">
        <v>7.5920138079022248</v>
      </c>
      <c r="N119" s="263">
        <v>0.78475579353551994</v>
      </c>
    </row>
    <row r="120" spans="2:14" x14ac:dyDescent="0.25">
      <c r="B120" s="222" t="s">
        <v>5</v>
      </c>
      <c r="C120" s="230" t="s">
        <v>91</v>
      </c>
      <c r="D120" s="229" t="e">
        <f t="shared" si="24"/>
        <v>#REF!</v>
      </c>
      <c r="E120" s="229" t="e">
        <f t="shared" si="24"/>
        <v>#REF!</v>
      </c>
      <c r="F120" s="229" t="e">
        <f t="shared" si="24"/>
        <v>#REF!</v>
      </c>
      <c r="G120" s="229" t="e">
        <f>((G48-F48)/F48)*100</f>
        <v>#REF!</v>
      </c>
      <c r="H120" s="229" t="e">
        <f t="shared" si="25"/>
        <v>#REF!</v>
      </c>
      <c r="I120" s="229" t="e">
        <f t="shared" si="26"/>
        <v>#REF!</v>
      </c>
      <c r="J120" s="229">
        <v>-10.558783014912859</v>
      </c>
      <c r="K120" s="229">
        <v>-5.7871300388375522</v>
      </c>
      <c r="L120" s="229">
        <v>18.394072389345936</v>
      </c>
      <c r="M120" s="229">
        <v>29.221983761312316</v>
      </c>
      <c r="N120" s="263">
        <v>-0.6235634753704723</v>
      </c>
    </row>
    <row r="121" spans="2:14" x14ac:dyDescent="0.25">
      <c r="B121" s="222" t="s">
        <v>58</v>
      </c>
      <c r="C121" s="230" t="s">
        <v>91</v>
      </c>
      <c r="D121" s="229" t="e">
        <f t="shared" si="24"/>
        <v>#REF!</v>
      </c>
      <c r="E121" s="229" t="e">
        <f t="shared" si="24"/>
        <v>#REF!</v>
      </c>
      <c r="F121" s="229" t="e">
        <f t="shared" si="24"/>
        <v>#REF!</v>
      </c>
      <c r="G121" s="229" t="e">
        <f t="shared" si="24"/>
        <v>#REF!</v>
      </c>
      <c r="H121" s="229" t="e">
        <f t="shared" si="25"/>
        <v>#REF!</v>
      </c>
      <c r="I121" s="229" t="e">
        <f t="shared" si="26"/>
        <v>#REF!</v>
      </c>
      <c r="J121" s="229">
        <v>-22.363876011271703</v>
      </c>
      <c r="K121" s="229">
        <v>17.255510347451921</v>
      </c>
      <c r="L121" s="229">
        <v>-11.488341904238855</v>
      </c>
      <c r="M121" s="229">
        <v>4.3225406137184077</v>
      </c>
      <c r="N121" s="263">
        <v>56.07241149975939</v>
      </c>
    </row>
    <row r="122" spans="2:14" x14ac:dyDescent="0.25">
      <c r="B122" s="222" t="s">
        <v>6</v>
      </c>
      <c r="C122" s="230" t="s">
        <v>91</v>
      </c>
      <c r="D122" s="229" t="e">
        <f t="shared" si="24"/>
        <v>#REF!</v>
      </c>
      <c r="E122" s="229" t="e">
        <f t="shared" si="24"/>
        <v>#REF!</v>
      </c>
      <c r="F122" s="229" t="e">
        <f t="shared" si="24"/>
        <v>#REF!</v>
      </c>
      <c r="G122" s="229" t="e">
        <f t="shared" ref="G122" si="27">((G50-F50)/F50)*100</f>
        <v>#REF!</v>
      </c>
      <c r="H122" s="229" t="e">
        <f t="shared" si="25"/>
        <v>#REF!</v>
      </c>
      <c r="I122" s="229" t="e">
        <f t="shared" si="26"/>
        <v>#REF!</v>
      </c>
      <c r="J122" s="229">
        <v>-100</v>
      </c>
      <c r="K122" s="230" t="s">
        <v>91</v>
      </c>
      <c r="L122" s="230" t="s">
        <v>91</v>
      </c>
      <c r="M122" s="230" t="s">
        <v>91</v>
      </c>
      <c r="N122" s="268" t="s">
        <v>91</v>
      </c>
    </row>
    <row r="123" spans="2:14" x14ac:dyDescent="0.25">
      <c r="B123" s="222" t="s">
        <v>7</v>
      </c>
      <c r="C123" s="230" t="s">
        <v>91</v>
      </c>
      <c r="D123" s="229" t="e">
        <f t="shared" ref="D123:G124" si="28">((D51-C51)/C51)*100</f>
        <v>#REF!</v>
      </c>
      <c r="E123" s="229" t="e">
        <f t="shared" si="28"/>
        <v>#REF!</v>
      </c>
      <c r="F123" s="229" t="e">
        <f t="shared" si="28"/>
        <v>#REF!</v>
      </c>
      <c r="G123" s="229" t="e">
        <f t="shared" si="28"/>
        <v>#REF!</v>
      </c>
      <c r="H123" s="230" t="s">
        <v>91</v>
      </c>
      <c r="I123" s="233" t="e">
        <f t="shared" ref="I123:I124" si="29">((I51-H51)/H51)*100</f>
        <v>#REF!</v>
      </c>
      <c r="J123" s="230" t="s">
        <v>91</v>
      </c>
      <c r="K123" s="230" t="s">
        <v>91</v>
      </c>
      <c r="L123" s="230" t="s">
        <v>91</v>
      </c>
      <c r="M123" s="230" t="s">
        <v>91</v>
      </c>
      <c r="N123" s="268" t="s">
        <v>91</v>
      </c>
    </row>
    <row r="124" spans="2:14" x14ac:dyDescent="0.25">
      <c r="B124" s="290" t="s">
        <v>8</v>
      </c>
      <c r="C124" s="298" t="s">
        <v>91</v>
      </c>
      <c r="D124" s="292" t="e">
        <f t="shared" si="28"/>
        <v>#REF!</v>
      </c>
      <c r="E124" s="292" t="e">
        <f t="shared" si="28"/>
        <v>#REF!</v>
      </c>
      <c r="F124" s="292" t="e">
        <f t="shared" si="28"/>
        <v>#REF!</v>
      </c>
      <c r="G124" s="292" t="e">
        <f t="shared" si="28"/>
        <v>#REF!</v>
      </c>
      <c r="H124" s="292" t="e">
        <f t="shared" ref="H124" si="30">((H52-G52)/G52)*100</f>
        <v>#REF!</v>
      </c>
      <c r="I124" s="292" t="e">
        <f t="shared" si="29"/>
        <v>#REF!</v>
      </c>
      <c r="J124" s="292">
        <v>-5.6392108175827032</v>
      </c>
      <c r="K124" s="292">
        <v>-0.44802246565454434</v>
      </c>
      <c r="L124" s="292">
        <v>5.102951445067017</v>
      </c>
      <c r="M124" s="292">
        <v>6.4236558407993094</v>
      </c>
      <c r="N124" s="293">
        <v>3.1850305012900151</v>
      </c>
    </row>
    <row r="125" spans="2:14" x14ac:dyDescent="0.25">
      <c r="B125" s="222" t="s">
        <v>9</v>
      </c>
      <c r="C125" s="230" t="s">
        <v>91</v>
      </c>
      <c r="D125" s="229" t="e">
        <f t="shared" ref="D125:G135" si="31">((D54-C54)/C54)*100</f>
        <v>#REF!</v>
      </c>
      <c r="E125" s="229" t="e">
        <f t="shared" si="31"/>
        <v>#REF!</v>
      </c>
      <c r="F125" s="229" t="e">
        <f t="shared" si="31"/>
        <v>#REF!</v>
      </c>
      <c r="G125" s="229" t="e">
        <f t="shared" si="31"/>
        <v>#REF!</v>
      </c>
      <c r="H125" s="229" t="e">
        <f t="shared" ref="H125:H133" si="32">((H54-G54)/G54)*100</f>
        <v>#REF!</v>
      </c>
      <c r="I125" s="229" t="e">
        <f t="shared" ref="I125:I133" si="33">((I54-H54)/H54)*100</f>
        <v>#REF!</v>
      </c>
      <c r="J125" s="229">
        <v>0.1244740220315953</v>
      </c>
      <c r="K125" s="229">
        <v>-0.95546519920195128</v>
      </c>
      <c r="L125" s="229">
        <v>-8.8301951244502952</v>
      </c>
      <c r="M125" s="229">
        <v>-7.8488745468526853</v>
      </c>
      <c r="N125" s="263">
        <v>0.44709180532228116</v>
      </c>
    </row>
    <row r="126" spans="2:14" x14ac:dyDescent="0.25">
      <c r="B126" s="222" t="s">
        <v>10</v>
      </c>
      <c r="C126" s="230" t="s">
        <v>91</v>
      </c>
      <c r="D126" s="229" t="e">
        <f t="shared" si="31"/>
        <v>#REF!</v>
      </c>
      <c r="E126" s="229" t="e">
        <f t="shared" si="31"/>
        <v>#REF!</v>
      </c>
      <c r="F126" s="229" t="e">
        <f t="shared" si="31"/>
        <v>#REF!</v>
      </c>
      <c r="G126" s="229" t="e">
        <f>((G55-F55)/F55)*100</f>
        <v>#REF!</v>
      </c>
      <c r="H126" s="229" t="e">
        <f t="shared" si="32"/>
        <v>#REF!</v>
      </c>
      <c r="I126" s="229" t="e">
        <f t="shared" si="33"/>
        <v>#REF!</v>
      </c>
      <c r="J126" s="229">
        <v>1.1144428059896266E-2</v>
      </c>
      <c r="K126" s="229">
        <v>8.8124513234201558</v>
      </c>
      <c r="L126" s="229">
        <v>-6.076806872511753</v>
      </c>
      <c r="M126" s="229">
        <v>-3.3972306279828106</v>
      </c>
      <c r="N126" s="263">
        <v>4.6498101299673742</v>
      </c>
    </row>
    <row r="127" spans="2:14" x14ac:dyDescent="0.25">
      <c r="B127" s="222" t="s">
        <v>11</v>
      </c>
      <c r="C127" s="230" t="s">
        <v>91</v>
      </c>
      <c r="D127" s="229" t="e">
        <f t="shared" si="31"/>
        <v>#REF!</v>
      </c>
      <c r="E127" s="229" t="e">
        <f t="shared" si="31"/>
        <v>#REF!</v>
      </c>
      <c r="F127" s="229" t="e">
        <f t="shared" si="31"/>
        <v>#REF!</v>
      </c>
      <c r="G127" s="229" t="e">
        <f t="shared" si="31"/>
        <v>#REF!</v>
      </c>
      <c r="H127" s="229" t="e">
        <f t="shared" si="32"/>
        <v>#REF!</v>
      </c>
      <c r="I127" s="229" t="e">
        <f t="shared" si="33"/>
        <v>#REF!</v>
      </c>
      <c r="J127" s="229">
        <v>-20.49605018587361</v>
      </c>
      <c r="K127" s="229">
        <v>-30.431337021855221</v>
      </c>
      <c r="L127" s="229">
        <v>17.412957674827354</v>
      </c>
      <c r="M127" s="229">
        <v>13.960639189144302</v>
      </c>
      <c r="N127" s="263">
        <v>39.767680218653908</v>
      </c>
    </row>
    <row r="128" spans="2:14" x14ac:dyDescent="0.25">
      <c r="B128" s="222" t="s">
        <v>65</v>
      </c>
      <c r="C128" s="230" t="s">
        <v>91</v>
      </c>
      <c r="D128" s="229" t="e">
        <f t="shared" si="31"/>
        <v>#REF!</v>
      </c>
      <c r="E128" s="229" t="e">
        <f t="shared" si="31"/>
        <v>#REF!</v>
      </c>
      <c r="F128" s="229" t="e">
        <f t="shared" si="31"/>
        <v>#REF!</v>
      </c>
      <c r="G128" s="229" t="e">
        <f t="shared" si="31"/>
        <v>#REF!</v>
      </c>
      <c r="H128" s="229" t="e">
        <f t="shared" si="32"/>
        <v>#REF!</v>
      </c>
      <c r="I128" s="229" t="e">
        <f t="shared" si="33"/>
        <v>#REF!</v>
      </c>
      <c r="J128" s="229">
        <v>-8.2965677576953052</v>
      </c>
      <c r="K128" s="229">
        <v>-3.5808336182502982</v>
      </c>
      <c r="L128" s="229">
        <v>18.17066016666843</v>
      </c>
      <c r="M128" s="229">
        <v>-7.2236206506032605</v>
      </c>
      <c r="N128" s="263">
        <v>-1.3236156488229873</v>
      </c>
    </row>
    <row r="129" spans="2:14" x14ac:dyDescent="0.25">
      <c r="B129" s="222" t="s">
        <v>12</v>
      </c>
      <c r="C129" s="230" t="s">
        <v>91</v>
      </c>
      <c r="D129" s="229" t="e">
        <f t="shared" si="31"/>
        <v>#REF!</v>
      </c>
      <c r="E129" s="229" t="e">
        <f t="shared" si="31"/>
        <v>#REF!</v>
      </c>
      <c r="F129" s="229" t="e">
        <f t="shared" si="31"/>
        <v>#REF!</v>
      </c>
      <c r="G129" s="229" t="e">
        <f t="shared" si="31"/>
        <v>#REF!</v>
      </c>
      <c r="H129" s="229" t="e">
        <f t="shared" si="32"/>
        <v>#REF!</v>
      </c>
      <c r="I129" s="229" t="e">
        <f t="shared" si="33"/>
        <v>#REF!</v>
      </c>
      <c r="J129" s="229">
        <v>-62.704726251754792</v>
      </c>
      <c r="K129" s="229">
        <v>235.50815558343788</v>
      </c>
      <c r="L129" s="229">
        <v>-8.7605455318245955</v>
      </c>
      <c r="M129" s="229">
        <v>21.652157002561943</v>
      </c>
      <c r="N129" s="263">
        <v>48.349056603773583</v>
      </c>
    </row>
    <row r="130" spans="2:14" x14ac:dyDescent="0.25">
      <c r="B130" s="222" t="s">
        <v>13</v>
      </c>
      <c r="C130" s="230" t="s">
        <v>91</v>
      </c>
      <c r="D130" s="229" t="e">
        <f t="shared" si="31"/>
        <v>#REF!</v>
      </c>
      <c r="E130" s="229" t="e">
        <f t="shared" si="31"/>
        <v>#REF!</v>
      </c>
      <c r="F130" s="229" t="e">
        <f t="shared" si="31"/>
        <v>#REF!</v>
      </c>
      <c r="G130" s="229" t="e">
        <f t="shared" si="31"/>
        <v>#REF!</v>
      </c>
      <c r="H130" s="229" t="e">
        <f t="shared" si="32"/>
        <v>#REF!</v>
      </c>
      <c r="I130" s="229" t="e">
        <f t="shared" si="33"/>
        <v>#REF!</v>
      </c>
      <c r="J130" s="229">
        <v>13.600884392482666</v>
      </c>
      <c r="K130" s="229">
        <v>5.5262304267051992</v>
      </c>
      <c r="L130" s="229">
        <v>47.71299002006679</v>
      </c>
      <c r="M130" s="229">
        <v>29.945474807855348</v>
      </c>
      <c r="N130" s="263">
        <v>-9.6887374796179824</v>
      </c>
    </row>
    <row r="131" spans="2:14" x14ac:dyDescent="0.25">
      <c r="B131" s="222" t="s">
        <v>14</v>
      </c>
      <c r="C131" s="230" t="s">
        <v>91</v>
      </c>
      <c r="D131" s="229" t="e">
        <f t="shared" si="31"/>
        <v>#REF!</v>
      </c>
      <c r="E131" s="229" t="e">
        <f t="shared" si="31"/>
        <v>#REF!</v>
      </c>
      <c r="F131" s="229" t="e">
        <f t="shared" si="31"/>
        <v>#REF!</v>
      </c>
      <c r="G131" s="229" t="e">
        <f t="shared" si="31"/>
        <v>#REF!</v>
      </c>
      <c r="H131" s="229" t="e">
        <f t="shared" si="32"/>
        <v>#REF!</v>
      </c>
      <c r="I131" s="229" t="e">
        <f t="shared" si="33"/>
        <v>#REF!</v>
      </c>
      <c r="J131" s="229">
        <v>35.905412506568574</v>
      </c>
      <c r="K131" s="229">
        <v>-1.5729155389207636</v>
      </c>
      <c r="L131" s="229">
        <v>-38.395641247991904</v>
      </c>
      <c r="M131" s="229">
        <v>28.389190514854452</v>
      </c>
      <c r="N131" s="263">
        <v>-1.5694844541571471</v>
      </c>
    </row>
    <row r="132" spans="2:14" x14ac:dyDescent="0.25">
      <c r="B132" s="222" t="s">
        <v>15</v>
      </c>
      <c r="C132" s="230" t="s">
        <v>91</v>
      </c>
      <c r="D132" s="229" t="e">
        <f t="shared" si="31"/>
        <v>#REF!</v>
      </c>
      <c r="E132" s="229" t="e">
        <f t="shared" si="31"/>
        <v>#REF!</v>
      </c>
      <c r="F132" s="229" t="e">
        <f t="shared" si="31"/>
        <v>#REF!</v>
      </c>
      <c r="G132" s="229" t="e">
        <f t="shared" si="31"/>
        <v>#REF!</v>
      </c>
      <c r="H132" s="229" t="e">
        <f t="shared" si="32"/>
        <v>#REF!</v>
      </c>
      <c r="I132" s="229" t="e">
        <f t="shared" si="33"/>
        <v>#REF!</v>
      </c>
      <c r="J132" s="229">
        <v>-37.25079147771028</v>
      </c>
      <c r="K132" s="229">
        <v>78.30503852185177</v>
      </c>
      <c r="L132" s="229">
        <v>34.258714985597642</v>
      </c>
      <c r="M132" s="229">
        <v>22.570090034685705</v>
      </c>
      <c r="N132" s="263">
        <v>-8.5672460265823958</v>
      </c>
    </row>
    <row r="133" spans="2:14" x14ac:dyDescent="0.25">
      <c r="B133" s="222" t="s">
        <v>35</v>
      </c>
      <c r="C133" s="230" t="s">
        <v>91</v>
      </c>
      <c r="D133" s="229" t="e">
        <f t="shared" si="31"/>
        <v>#REF!</v>
      </c>
      <c r="E133" s="229" t="e">
        <f t="shared" si="31"/>
        <v>#REF!</v>
      </c>
      <c r="F133" s="229" t="e">
        <f t="shared" si="31"/>
        <v>#REF!</v>
      </c>
      <c r="G133" s="229" t="e">
        <f t="shared" si="31"/>
        <v>#REF!</v>
      </c>
      <c r="H133" s="229" t="e">
        <f t="shared" si="32"/>
        <v>#REF!</v>
      </c>
      <c r="I133" s="229" t="e">
        <f t="shared" si="33"/>
        <v>#REF!</v>
      </c>
      <c r="J133" s="229">
        <v>-2.0232604250479325</v>
      </c>
      <c r="K133" s="229">
        <v>10.932208928568436</v>
      </c>
      <c r="L133" s="229">
        <v>29.13345259383626</v>
      </c>
      <c r="M133" s="229">
        <v>22.492733010749554</v>
      </c>
      <c r="N133" s="263">
        <v>-19.486514812546098</v>
      </c>
    </row>
    <row r="134" spans="2:14" x14ac:dyDescent="0.25">
      <c r="B134" s="222" t="s">
        <v>16</v>
      </c>
      <c r="C134" s="230" t="s">
        <v>91</v>
      </c>
      <c r="D134" s="229" t="e">
        <f t="shared" si="31"/>
        <v>#REF!</v>
      </c>
      <c r="E134" s="229" t="e">
        <f t="shared" si="31"/>
        <v>#REF!</v>
      </c>
      <c r="F134" s="229" t="e">
        <f t="shared" si="31"/>
        <v>#REF!</v>
      </c>
      <c r="G134" s="229">
        <v>-30.7</v>
      </c>
      <c r="H134" s="229">
        <v>-29.7</v>
      </c>
      <c r="I134" s="229">
        <v>-28.7</v>
      </c>
      <c r="J134" s="229">
        <v>-27.7</v>
      </c>
      <c r="K134" s="229">
        <v>-26.7</v>
      </c>
      <c r="L134" s="229">
        <v>-25.7</v>
      </c>
      <c r="M134" s="229">
        <v>-24.7</v>
      </c>
      <c r="N134" s="263">
        <v>-23.7</v>
      </c>
    </row>
    <row r="135" spans="2:14" x14ac:dyDescent="0.25">
      <c r="B135" s="294" t="s">
        <v>17</v>
      </c>
      <c r="C135" s="299" t="s">
        <v>91</v>
      </c>
      <c r="D135" s="296" t="e">
        <f t="shared" si="31"/>
        <v>#REF!</v>
      </c>
      <c r="E135" s="296" t="e">
        <f t="shared" si="31"/>
        <v>#REF!</v>
      </c>
      <c r="F135" s="296" t="e">
        <f t="shared" si="31"/>
        <v>#REF!</v>
      </c>
      <c r="G135" s="296" t="e">
        <f t="shared" si="31"/>
        <v>#REF!</v>
      </c>
      <c r="H135" s="296" t="e">
        <f t="shared" ref="H135" si="34">((H64-G64)/G64)*100</f>
        <v>#REF!</v>
      </c>
      <c r="I135" s="296" t="e">
        <f t="shared" ref="I135" si="35">((I64-H64)/H64)*100</f>
        <v>#REF!</v>
      </c>
      <c r="J135" s="296">
        <v>-5.6392177940588519</v>
      </c>
      <c r="K135" s="296">
        <v>-0.44806596899855755</v>
      </c>
      <c r="L135" s="296">
        <v>5.10292476593703</v>
      </c>
      <c r="M135" s="296">
        <v>6.4238563289751403</v>
      </c>
      <c r="N135" s="297">
        <v>3.184915026652877</v>
      </c>
    </row>
    <row r="136" spans="2:14" x14ac:dyDescent="0.25">
      <c r="K136" s="221"/>
      <c r="L136" s="221"/>
      <c r="M136" s="221"/>
      <c r="N136" s="221"/>
    </row>
    <row r="137" spans="2:14" x14ac:dyDescent="0.25">
      <c r="K137" s="221"/>
      <c r="L137" s="221"/>
      <c r="M137" s="221"/>
      <c r="N137" s="221"/>
    </row>
    <row r="138" spans="2:14" s="218" customFormat="1" x14ac:dyDescent="0.25">
      <c r="B138" s="215" t="s">
        <v>66</v>
      </c>
      <c r="C138" s="216">
        <v>40178</v>
      </c>
      <c r="D138" s="216">
        <v>40543</v>
      </c>
      <c r="E138" s="216">
        <v>40908</v>
      </c>
      <c r="F138" s="216">
        <v>41274</v>
      </c>
      <c r="G138" s="216">
        <v>41639</v>
      </c>
      <c r="H138" s="217">
        <v>2014</v>
      </c>
      <c r="I138" s="217">
        <v>2015</v>
      </c>
      <c r="J138" s="217">
        <v>2016</v>
      </c>
      <c r="K138" s="217">
        <v>2017</v>
      </c>
      <c r="L138" s="217">
        <v>2018</v>
      </c>
      <c r="M138" s="217">
        <v>2019</v>
      </c>
      <c r="N138" s="260">
        <v>2020</v>
      </c>
    </row>
    <row r="139" spans="2:14" x14ac:dyDescent="0.25">
      <c r="B139" s="219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N139" s="261"/>
    </row>
    <row r="140" spans="2:14" s="218" customFormat="1" x14ac:dyDescent="0.25">
      <c r="B140" s="251" t="s">
        <v>67</v>
      </c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62"/>
    </row>
    <row r="141" spans="2:14" x14ac:dyDescent="0.25">
      <c r="B141" s="222" t="s">
        <v>68</v>
      </c>
      <c r="C141" s="229" t="e">
        <f t="shared" ref="C141:J141" si="36">(C35/C4)*100</f>
        <v>#REF!</v>
      </c>
      <c r="D141" s="229" t="e">
        <f t="shared" si="36"/>
        <v>#REF!</v>
      </c>
      <c r="E141" s="229" t="e">
        <f t="shared" si="36"/>
        <v>#REF!</v>
      </c>
      <c r="F141" s="229" t="e">
        <f t="shared" si="36"/>
        <v>#REF!</v>
      </c>
      <c r="G141" s="229" t="e">
        <f t="shared" si="36"/>
        <v>#REF!</v>
      </c>
      <c r="H141" s="229" t="e">
        <f t="shared" si="36"/>
        <v>#REF!</v>
      </c>
      <c r="I141" s="229" t="e">
        <f t="shared" si="36"/>
        <v>#REF!</v>
      </c>
      <c r="J141" s="229">
        <v>2.1116708453618869</v>
      </c>
      <c r="K141" s="229">
        <v>5.6925172155832264</v>
      </c>
      <c r="L141" s="229">
        <v>-4.1656122094055261</v>
      </c>
      <c r="M141" s="229">
        <v>-3.5647504672607688</v>
      </c>
      <c r="N141" s="263">
        <v>1.4396777767773636</v>
      </c>
    </row>
    <row r="142" spans="2:14" x14ac:dyDescent="0.25">
      <c r="B142" s="222" t="s">
        <v>69</v>
      </c>
      <c r="C142" s="229" t="e">
        <f t="shared" ref="C142:J142" si="37">(C4/C52)*100</f>
        <v>#REF!</v>
      </c>
      <c r="D142" s="229" t="e">
        <f t="shared" si="37"/>
        <v>#REF!</v>
      </c>
      <c r="E142" s="229" t="e">
        <f t="shared" si="37"/>
        <v>#REF!</v>
      </c>
      <c r="F142" s="229" t="e">
        <f t="shared" si="37"/>
        <v>#REF!</v>
      </c>
      <c r="G142" s="229" t="e">
        <f t="shared" si="37"/>
        <v>#REF!</v>
      </c>
      <c r="H142" s="229" t="e">
        <f t="shared" si="37"/>
        <v>#REF!</v>
      </c>
      <c r="I142" s="229" t="e">
        <f t="shared" si="37"/>
        <v>#REF!</v>
      </c>
      <c r="J142" s="229">
        <v>77.217031821685183</v>
      </c>
      <c r="K142" s="229">
        <v>88.7868930633377</v>
      </c>
      <c r="L142" s="229">
        <v>75.002904555258908</v>
      </c>
      <c r="M142" s="229">
        <v>73.724583209940079</v>
      </c>
      <c r="N142" s="263">
        <v>80.304532724208869</v>
      </c>
    </row>
    <row r="143" spans="2:14" x14ac:dyDescent="0.25">
      <c r="B143" s="222" t="s">
        <v>70</v>
      </c>
      <c r="C143" s="229" t="e">
        <f t="shared" ref="C143:I143" si="38">(C52/(C54+C55))*100</f>
        <v>#REF!</v>
      </c>
      <c r="D143" s="229" t="e">
        <f t="shared" si="38"/>
        <v>#REF!</v>
      </c>
      <c r="E143" s="229" t="e">
        <f t="shared" si="38"/>
        <v>#REF!</v>
      </c>
      <c r="F143" s="229" t="e">
        <f t="shared" si="38"/>
        <v>#REF!</v>
      </c>
      <c r="G143" s="229" t="e">
        <f t="shared" si="38"/>
        <v>#REF!</v>
      </c>
      <c r="H143" s="229" t="e">
        <f t="shared" si="38"/>
        <v>#REF!</v>
      </c>
      <c r="I143" s="229" t="e">
        <f t="shared" si="38"/>
        <v>#REF!</v>
      </c>
      <c r="J143" s="229">
        <v>173.63931241610626</v>
      </c>
      <c r="K143" s="229">
        <v>167.17535518036615</v>
      </c>
      <c r="L143" s="229">
        <v>190.03046143553402</v>
      </c>
      <c r="M143" s="229">
        <v>214.52179575224795</v>
      </c>
      <c r="N143" s="263">
        <v>215.95472462899878</v>
      </c>
    </row>
    <row r="144" spans="2:14" x14ac:dyDescent="0.25">
      <c r="B144" s="222" t="s">
        <v>71</v>
      </c>
      <c r="C144" s="229" t="e">
        <f t="shared" ref="C144:J144" si="39">(C35/(C54+C55))*100</f>
        <v>#REF!</v>
      </c>
      <c r="D144" s="229" t="e">
        <f t="shared" si="39"/>
        <v>#REF!</v>
      </c>
      <c r="E144" s="229" t="e">
        <f t="shared" si="39"/>
        <v>#REF!</v>
      </c>
      <c r="F144" s="229" t="e">
        <f t="shared" si="39"/>
        <v>#REF!</v>
      </c>
      <c r="G144" s="229" t="e">
        <f t="shared" si="39"/>
        <v>#REF!</v>
      </c>
      <c r="H144" s="229" t="e">
        <f t="shared" si="39"/>
        <v>#REF!</v>
      </c>
      <c r="I144" s="229" t="e">
        <f t="shared" si="39"/>
        <v>#REF!</v>
      </c>
      <c r="J144" s="229">
        <v>2.8313097527115971</v>
      </c>
      <c r="K144" s="229">
        <v>8.4493921362070541</v>
      </c>
      <c r="L144" s="229">
        <v>-5.9371789999833924</v>
      </c>
      <c r="M144" s="229">
        <v>-5.6378417890753045</v>
      </c>
      <c r="N144" s="263">
        <v>2.4967098240034669</v>
      </c>
    </row>
    <row r="145" spans="2:14" x14ac:dyDescent="0.25">
      <c r="B145" s="222" t="s">
        <v>72</v>
      </c>
      <c r="C145" s="229" t="e">
        <f t="shared" ref="C145:J145" si="40">(C35/C52)*100</f>
        <v>#REF!</v>
      </c>
      <c r="D145" s="229" t="e">
        <f t="shared" si="40"/>
        <v>#REF!</v>
      </c>
      <c r="E145" s="229" t="e">
        <f t="shared" si="40"/>
        <v>#REF!</v>
      </c>
      <c r="F145" s="229" t="e">
        <f t="shared" si="40"/>
        <v>#REF!</v>
      </c>
      <c r="G145" s="229" t="e">
        <f t="shared" si="40"/>
        <v>#REF!</v>
      </c>
      <c r="H145" s="229" t="e">
        <f t="shared" si="40"/>
        <v>#REF!</v>
      </c>
      <c r="I145" s="229" t="e">
        <f t="shared" si="40"/>
        <v>#REF!</v>
      </c>
      <c r="J145" s="229">
        <v>1.6305695486323368</v>
      </c>
      <c r="K145" s="229">
        <v>5.0542091728119685</v>
      </c>
      <c r="L145" s="229">
        <v>-3.1243301495626383</v>
      </c>
      <c r="M145" s="229">
        <v>-2.6280974244623931</v>
      </c>
      <c r="N145" s="263">
        <v>1.1561265113753405</v>
      </c>
    </row>
    <row r="146" spans="2:14" x14ac:dyDescent="0.25">
      <c r="B146" s="222" t="s">
        <v>73</v>
      </c>
      <c r="C146" s="229" t="e">
        <f t="shared" ref="C146:J146" si="41">(-(C25+C24+C23+C19+C18+C14+C13+C12+C11+C10)/C8)*100</f>
        <v>#REF!</v>
      </c>
      <c r="D146" s="229" t="e">
        <f t="shared" si="41"/>
        <v>#REF!</v>
      </c>
      <c r="E146" s="229" t="e">
        <f t="shared" si="41"/>
        <v>#REF!</v>
      </c>
      <c r="F146" s="229" t="e">
        <f t="shared" si="41"/>
        <v>#REF!</v>
      </c>
      <c r="G146" s="229" t="e">
        <f t="shared" si="41"/>
        <v>#REF!</v>
      </c>
      <c r="H146" s="229" t="e">
        <f t="shared" si="41"/>
        <v>#REF!</v>
      </c>
      <c r="I146" s="229" t="e">
        <f t="shared" si="41"/>
        <v>#REF!</v>
      </c>
      <c r="J146" s="229">
        <v>94.795335229543298</v>
      </c>
      <c r="K146" s="229">
        <v>89.889984471623677</v>
      </c>
      <c r="L146" s="229">
        <v>100.84288233656325</v>
      </c>
      <c r="M146" s="229">
        <v>99.052039564843867</v>
      </c>
      <c r="N146" s="263">
        <v>94.642589018570945</v>
      </c>
    </row>
    <row r="147" spans="2:14" x14ac:dyDescent="0.25">
      <c r="B147" s="222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63"/>
    </row>
    <row r="148" spans="2:14" s="218" customFormat="1" x14ac:dyDescent="0.25">
      <c r="B148" s="251" t="s">
        <v>74</v>
      </c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62"/>
    </row>
    <row r="149" spans="2:14" x14ac:dyDescent="0.25">
      <c r="B149" s="222" t="s">
        <v>75</v>
      </c>
      <c r="C149" s="229" t="e">
        <f>(#REF!/#REF!)*100</f>
        <v>#REF!</v>
      </c>
      <c r="D149" s="229" t="e">
        <f>(#REF!/#REF!)*100</f>
        <v>#REF!</v>
      </c>
      <c r="E149" s="229" t="e">
        <f>(#REF!/#REF!)*100</f>
        <v>#REF!</v>
      </c>
      <c r="F149" s="229" t="e">
        <f>(#REF!/#REF!)*100</f>
        <v>#REF!</v>
      </c>
      <c r="G149" s="229" t="e">
        <f>(#REF!/#REF!)*100</f>
        <v>#REF!</v>
      </c>
      <c r="H149" s="229" t="e">
        <f>(#REF!/#REF!)*100</f>
        <v>#REF!</v>
      </c>
      <c r="I149" s="229" t="e">
        <f>(#REF!/#REF!)*100</f>
        <v>#REF!</v>
      </c>
      <c r="J149" s="229">
        <v>256.04913780927802</v>
      </c>
      <c r="K149" s="229">
        <v>220.85364434502645</v>
      </c>
      <c r="L149" s="229">
        <v>198.72840524415264</v>
      </c>
      <c r="M149" s="229">
        <v>179.93804054216531</v>
      </c>
      <c r="N149" s="263">
        <v>194.51138347710341</v>
      </c>
    </row>
    <row r="150" spans="2:14" x14ac:dyDescent="0.25">
      <c r="B150" s="222" t="s">
        <v>76</v>
      </c>
      <c r="C150" s="229" t="e">
        <f>(#REF!/#REF!)*100</f>
        <v>#REF!</v>
      </c>
      <c r="D150" s="229" t="e">
        <f>(#REF!/#REF!)*100</f>
        <v>#REF!</v>
      </c>
      <c r="E150" s="229" t="e">
        <f>(#REF!/#REF!)*100</f>
        <v>#REF!</v>
      </c>
      <c r="F150" s="229" t="e">
        <f>(#REF!/#REF!)*100</f>
        <v>#REF!</v>
      </c>
      <c r="G150" s="229" t="e">
        <f>(#REF!/#REF!)*100</f>
        <v>#REF!</v>
      </c>
      <c r="H150" s="229" t="e">
        <f>(#REF!/#REF!)*100</f>
        <v>#REF!</v>
      </c>
      <c r="I150" s="229" t="e">
        <f>(#REF!/#REF!)*100</f>
        <v>#REF!</v>
      </c>
      <c r="J150" s="229">
        <v>27.048426751948845</v>
      </c>
      <c r="K150" s="229">
        <v>29.089701449324728</v>
      </c>
      <c r="L150" s="229">
        <v>31.638722933306113</v>
      </c>
      <c r="M150" s="229">
        <v>34.180461969120351</v>
      </c>
      <c r="N150" s="263">
        <v>33.206432401644399</v>
      </c>
    </row>
    <row r="151" spans="2:14" x14ac:dyDescent="0.25">
      <c r="B151" s="222" t="s">
        <v>77</v>
      </c>
      <c r="C151" s="229" t="e">
        <f t="shared" ref="C151:J151" si="42">C47/((-(C11+C10))/360)</f>
        <v>#REF!</v>
      </c>
      <c r="D151" s="229" t="e">
        <f t="shared" si="42"/>
        <v>#REF!</v>
      </c>
      <c r="E151" s="229" t="e">
        <f t="shared" si="42"/>
        <v>#REF!</v>
      </c>
      <c r="F151" s="229" t="e">
        <f t="shared" si="42"/>
        <v>#REF!</v>
      </c>
      <c r="G151" s="229" t="e">
        <f t="shared" si="42"/>
        <v>#REF!</v>
      </c>
      <c r="H151" s="229" t="e">
        <f t="shared" si="42"/>
        <v>#REF!</v>
      </c>
      <c r="I151" s="229" t="e">
        <f t="shared" si="42"/>
        <v>#REF!</v>
      </c>
      <c r="J151" s="229">
        <v>140.31165057643642</v>
      </c>
      <c r="K151" s="229">
        <v>141.70567637681938</v>
      </c>
      <c r="L151" s="229">
        <v>165.35637116556015</v>
      </c>
      <c r="M151" s="229">
        <v>168.78121495675387</v>
      </c>
      <c r="N151" s="263">
        <v>157.97543387155642</v>
      </c>
    </row>
    <row r="152" spans="2:14" x14ac:dyDescent="0.25">
      <c r="B152" s="222" t="s">
        <v>78</v>
      </c>
      <c r="C152" s="229" t="e">
        <f t="shared" ref="C152:J152" si="43">(-(C10+C11))/C47</f>
        <v>#REF!</v>
      </c>
      <c r="D152" s="229" t="e">
        <f t="shared" si="43"/>
        <v>#REF!</v>
      </c>
      <c r="E152" s="229" t="e">
        <f t="shared" si="43"/>
        <v>#REF!</v>
      </c>
      <c r="F152" s="229" t="e">
        <f t="shared" si="43"/>
        <v>#REF!</v>
      </c>
      <c r="G152" s="229" t="e">
        <f t="shared" si="43"/>
        <v>#REF!</v>
      </c>
      <c r="H152" s="229" t="e">
        <f t="shared" si="43"/>
        <v>#REF!</v>
      </c>
      <c r="I152" s="229" t="e">
        <f t="shared" si="43"/>
        <v>#REF!</v>
      </c>
      <c r="J152" s="229">
        <v>2.5657170913536209</v>
      </c>
      <c r="K152" s="229">
        <v>2.5404769181066471</v>
      </c>
      <c r="L152" s="229">
        <v>2.1771159917361538</v>
      </c>
      <c r="M152" s="229">
        <v>2.1329387876028818</v>
      </c>
      <c r="N152" s="263">
        <v>2.2788353301355819</v>
      </c>
    </row>
    <row r="153" spans="2:14" x14ac:dyDescent="0.25">
      <c r="B153" s="222" t="s">
        <v>178</v>
      </c>
      <c r="C153" s="229" t="e">
        <f t="shared" ref="C153:J153" si="44">(C48/(C4*1.18))*360</f>
        <v>#REF!</v>
      </c>
      <c r="D153" s="229" t="e">
        <f t="shared" si="44"/>
        <v>#REF!</v>
      </c>
      <c r="E153" s="229" t="e">
        <f t="shared" si="44"/>
        <v>#REF!</v>
      </c>
      <c r="F153" s="229" t="e">
        <f t="shared" si="44"/>
        <v>#REF!</v>
      </c>
      <c r="G153" s="229" t="e">
        <f t="shared" si="44"/>
        <v>#REF!</v>
      </c>
      <c r="H153" s="229" t="e">
        <f t="shared" si="44"/>
        <v>#REF!</v>
      </c>
      <c r="I153" s="229" t="e">
        <f t="shared" si="44"/>
        <v>#REF!</v>
      </c>
      <c r="J153" s="229">
        <v>40.015621025934855</v>
      </c>
      <c r="K153" s="229">
        <v>32.934733099533233</v>
      </c>
      <c r="L153" s="229">
        <v>43.917738900813156</v>
      </c>
      <c r="M153" s="229">
        <v>54.250526680200423</v>
      </c>
      <c r="N153" s="263">
        <v>47.96704317781343</v>
      </c>
    </row>
    <row r="154" spans="2:14" x14ac:dyDescent="0.25">
      <c r="B154" s="222" t="s">
        <v>179</v>
      </c>
      <c r="C154" s="229" t="e">
        <f t="shared" ref="C154:J154" si="45">(C59/(C4*1.18))*360</f>
        <v>#REF!</v>
      </c>
      <c r="D154" s="229" t="e">
        <f t="shared" si="45"/>
        <v>#REF!</v>
      </c>
      <c r="E154" s="229" t="e">
        <f t="shared" si="45"/>
        <v>#REF!</v>
      </c>
      <c r="F154" s="229" t="e">
        <f t="shared" si="45"/>
        <v>#REF!</v>
      </c>
      <c r="G154" s="229" t="e">
        <f t="shared" si="45"/>
        <v>#REF!</v>
      </c>
      <c r="H154" s="229" t="e">
        <f t="shared" si="45"/>
        <v>#REF!</v>
      </c>
      <c r="I154" s="229" t="e">
        <f t="shared" si="45"/>
        <v>#REF!</v>
      </c>
      <c r="J154" s="229">
        <v>22.716112973926556</v>
      </c>
      <c r="K154" s="229">
        <v>20.941548783148185</v>
      </c>
      <c r="L154" s="229">
        <v>34.840417612378367</v>
      </c>
      <c r="M154" s="229">
        <v>43.278489517764484</v>
      </c>
      <c r="N154" s="263">
        <v>34.775195342129379</v>
      </c>
    </row>
    <row r="155" spans="2:14" x14ac:dyDescent="0.25">
      <c r="B155" s="222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63"/>
    </row>
    <row r="156" spans="2:14" s="218" customFormat="1" x14ac:dyDescent="0.25">
      <c r="B156" s="251" t="s">
        <v>79</v>
      </c>
      <c r="C156" s="242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62"/>
    </row>
    <row r="157" spans="2:14" x14ac:dyDescent="0.25">
      <c r="B157" s="219" t="s">
        <v>203</v>
      </c>
      <c r="C157" s="229" t="e">
        <f>(#REF!/#REF!)*100</f>
        <v>#REF!</v>
      </c>
      <c r="D157" s="229" t="e">
        <f>(#REF!/#REF!)*100</f>
        <v>#REF!</v>
      </c>
      <c r="E157" s="229" t="e">
        <f>(#REF!/#REF!)*100</f>
        <v>#REF!</v>
      </c>
      <c r="F157" s="229" t="e">
        <f>(#REF!/#REF!)*100</f>
        <v>#REF!</v>
      </c>
      <c r="G157" s="229" t="e">
        <f>(#REF!/#REF!)*100</f>
        <v>#REF!</v>
      </c>
      <c r="H157" s="229" t="e">
        <f>(H56+H62)/(H54+H55)*100</f>
        <v>#REF!</v>
      </c>
      <c r="I157" s="229" t="e">
        <f t="shared" ref="I157:L157" si="46">(I56+I62)/(I54+I55)*100</f>
        <v>#REF!</v>
      </c>
      <c r="J157" s="229">
        <v>51.9720097930592</v>
      </c>
      <c r="K157" s="229">
        <v>42.05583236056146</v>
      </c>
      <c r="L157" s="229">
        <v>55.81446833750028</v>
      </c>
      <c r="M157" s="229">
        <v>69.873184897200218</v>
      </c>
      <c r="N157" s="263">
        <v>75.33403651219038</v>
      </c>
    </row>
    <row r="158" spans="2:14" x14ac:dyDescent="0.25">
      <c r="B158" s="219" t="s">
        <v>194</v>
      </c>
      <c r="C158" s="229" t="e">
        <f>C20/-(#REF!)</f>
        <v>#REF!</v>
      </c>
      <c r="D158" s="229" t="e">
        <f>D20/-(#REF!)</f>
        <v>#REF!</v>
      </c>
      <c r="E158" s="229" t="e">
        <f>E20/-(#REF!)</f>
        <v>#REF!</v>
      </c>
      <c r="F158" s="229" t="e">
        <f>F20/-(#REF!)</f>
        <v>#REF!</v>
      </c>
      <c r="G158" s="229" t="e">
        <f>G20/-(#REF!)</f>
        <v>#REF!</v>
      </c>
      <c r="H158" s="229" t="e">
        <f>H20/-(#REF!)</f>
        <v>#REF!</v>
      </c>
      <c r="I158" s="229" t="e">
        <f>I20/-(#REF!)</f>
        <v>#REF!</v>
      </c>
      <c r="J158" s="229">
        <v>7.7860668459250713</v>
      </c>
      <c r="K158" s="229">
        <v>11.693569553805778</v>
      </c>
      <c r="L158" s="229">
        <v>4.8147259822279</v>
      </c>
      <c r="M158" s="229">
        <v>4.988434942054865</v>
      </c>
      <c r="N158" s="263">
        <v>6.3778766825879289</v>
      </c>
    </row>
    <row r="159" spans="2:14" x14ac:dyDescent="0.25">
      <c r="B159" s="234" t="s">
        <v>204</v>
      </c>
      <c r="C159" s="232" t="e">
        <f>(#REF!/'Synthèse données &amp; ratios'!C20)*100</f>
        <v>#REF!</v>
      </c>
      <c r="D159" s="232" t="e">
        <f>(#REF!/'Synthèse données &amp; ratios'!D20)*100</f>
        <v>#REF!</v>
      </c>
      <c r="E159" s="232" t="e">
        <f>(#REF!/'Synthèse données &amp; ratios'!E20)*100</f>
        <v>#REF!</v>
      </c>
      <c r="F159" s="232" t="e">
        <f>(#REF!/'Synthèse données &amp; ratios'!F20)*100</f>
        <v>#REF!</v>
      </c>
      <c r="G159" s="232" t="e">
        <f>(#REF!/'Synthèse données &amp; ratios'!G20)*100</f>
        <v>#REF!</v>
      </c>
      <c r="H159" s="232" t="e">
        <f>(H56+H62)/H20</f>
        <v>#REF!</v>
      </c>
      <c r="I159" s="232" t="e">
        <f t="shared" ref="I159:M159" si="47">(I56+I62)/I20</f>
        <v>#REF!</v>
      </c>
      <c r="J159" s="232">
        <v>2.6000451334295831</v>
      </c>
      <c r="K159" s="232">
        <v>1.48012276848341</v>
      </c>
      <c r="L159" s="232">
        <v>4.5286940700384957</v>
      </c>
      <c r="M159" s="232">
        <v>5.1393979434941377</v>
      </c>
      <c r="N159" s="264">
        <v>4.0237604888261025</v>
      </c>
    </row>
    <row r="160" spans="2:14" hidden="1" x14ac:dyDescent="0.25">
      <c r="M160" s="221"/>
    </row>
    <row r="161" spans="2:14" x14ac:dyDescent="0.25">
      <c r="M161" s="221"/>
    </row>
    <row r="162" spans="2:14" x14ac:dyDescent="0.25">
      <c r="B162" s="287" t="s">
        <v>80</v>
      </c>
      <c r="C162" s="235"/>
      <c r="D162" s="235"/>
      <c r="E162" s="235"/>
      <c r="F162" s="235"/>
      <c r="G162" s="236"/>
      <c r="H162" s="236"/>
      <c r="I162" s="236"/>
      <c r="J162" s="236"/>
      <c r="K162" s="236"/>
      <c r="L162" s="236"/>
      <c r="M162" s="236"/>
      <c r="N162" s="265"/>
    </row>
    <row r="163" spans="2:14" x14ac:dyDescent="0.25">
      <c r="B163" s="288" t="s">
        <v>81</v>
      </c>
      <c r="C163" s="237"/>
      <c r="D163" s="237"/>
      <c r="E163" s="237"/>
      <c r="F163" s="237"/>
      <c r="G163" s="238"/>
      <c r="H163" s="238"/>
      <c r="I163" s="238"/>
      <c r="J163" s="238"/>
      <c r="K163" s="238"/>
      <c r="L163" s="238"/>
      <c r="M163" s="238"/>
      <c r="N163" s="266"/>
    </row>
    <row r="164" spans="2:14" x14ac:dyDescent="0.25">
      <c r="B164" s="288" t="s">
        <v>82</v>
      </c>
      <c r="C164" s="237"/>
      <c r="D164" s="237"/>
      <c r="E164" s="237"/>
      <c r="F164" s="237"/>
      <c r="G164" s="238"/>
      <c r="H164" s="238"/>
      <c r="I164" s="238"/>
      <c r="J164" s="238"/>
      <c r="K164" s="238"/>
      <c r="L164" s="238"/>
      <c r="M164" s="238"/>
      <c r="N164" s="266"/>
    </row>
    <row r="165" spans="2:14" x14ac:dyDescent="0.25">
      <c r="B165" s="288" t="s">
        <v>83</v>
      </c>
      <c r="C165" s="237"/>
      <c r="D165" s="237"/>
      <c r="E165" s="237"/>
      <c r="F165" s="237"/>
      <c r="G165" s="238"/>
      <c r="H165" s="238"/>
      <c r="I165" s="238"/>
      <c r="J165" s="238"/>
      <c r="K165" s="238"/>
      <c r="L165" s="238"/>
      <c r="M165" s="238"/>
      <c r="N165" s="266"/>
    </row>
    <row r="166" spans="2:14" x14ac:dyDescent="0.25">
      <c r="B166" s="288" t="s">
        <v>84</v>
      </c>
      <c r="C166" s="237"/>
      <c r="D166" s="237"/>
      <c r="E166" s="237"/>
      <c r="F166" s="237"/>
      <c r="G166" s="238"/>
      <c r="H166" s="238"/>
      <c r="I166" s="238"/>
      <c r="J166" s="238"/>
      <c r="K166" s="238"/>
      <c r="L166" s="238"/>
      <c r="M166" s="238"/>
      <c r="N166" s="266"/>
    </row>
    <row r="167" spans="2:14" x14ac:dyDescent="0.25">
      <c r="B167" s="288" t="s">
        <v>85</v>
      </c>
      <c r="C167" s="237"/>
      <c r="D167" s="237"/>
      <c r="E167" s="237"/>
      <c r="F167" s="237"/>
      <c r="G167" s="238"/>
      <c r="H167" s="238"/>
      <c r="I167" s="238"/>
      <c r="J167" s="238"/>
      <c r="K167" s="238"/>
      <c r="L167" s="238"/>
      <c r="M167" s="238"/>
      <c r="N167" s="266"/>
    </row>
    <row r="168" spans="2:14" x14ac:dyDescent="0.25">
      <c r="B168" s="288" t="s">
        <v>86</v>
      </c>
      <c r="C168" s="237"/>
      <c r="D168" s="237"/>
      <c r="E168" s="237"/>
      <c r="F168" s="237"/>
      <c r="G168" s="238"/>
      <c r="H168" s="238"/>
      <c r="I168" s="238"/>
      <c r="J168" s="238"/>
      <c r="K168" s="238"/>
      <c r="L168" s="238"/>
      <c r="M168" s="238"/>
      <c r="N168" s="266"/>
    </row>
    <row r="169" spans="2:14" x14ac:dyDescent="0.25">
      <c r="B169" s="288" t="s">
        <v>87</v>
      </c>
      <c r="C169" s="237"/>
      <c r="D169" s="237"/>
      <c r="E169" s="237"/>
      <c r="F169" s="237"/>
      <c r="G169" s="238"/>
      <c r="H169" s="238"/>
      <c r="I169" s="238"/>
      <c r="J169" s="238"/>
      <c r="K169" s="238"/>
      <c r="L169" s="238"/>
      <c r="M169" s="238"/>
      <c r="N169" s="266"/>
    </row>
    <row r="170" spans="2:14" x14ac:dyDescent="0.25">
      <c r="B170" s="288" t="s">
        <v>88</v>
      </c>
      <c r="C170" s="237"/>
      <c r="D170" s="237"/>
      <c r="E170" s="237"/>
      <c r="F170" s="237"/>
      <c r="G170" s="238"/>
      <c r="H170" s="238"/>
      <c r="I170" s="238"/>
      <c r="J170" s="238"/>
      <c r="K170" s="238"/>
      <c r="L170" s="238"/>
      <c r="M170" s="238"/>
      <c r="N170" s="266"/>
    </row>
    <row r="171" spans="2:14" x14ac:dyDescent="0.25">
      <c r="B171" s="288" t="s">
        <v>89</v>
      </c>
      <c r="C171" s="237"/>
      <c r="D171" s="237"/>
      <c r="E171" s="237"/>
      <c r="F171" s="237"/>
      <c r="G171" s="238"/>
      <c r="H171" s="238"/>
      <c r="I171" s="238"/>
      <c r="J171" s="238"/>
      <c r="K171" s="238"/>
      <c r="L171" s="238"/>
      <c r="M171" s="238"/>
      <c r="N171" s="266"/>
    </row>
    <row r="172" spans="2:14" x14ac:dyDescent="0.25">
      <c r="B172" s="289" t="s">
        <v>90</v>
      </c>
      <c r="C172" s="239"/>
      <c r="D172" s="239"/>
      <c r="E172" s="239"/>
      <c r="F172" s="239"/>
      <c r="G172" s="240"/>
      <c r="H172" s="240"/>
      <c r="I172" s="240"/>
      <c r="J172" s="240"/>
      <c r="K172" s="240"/>
      <c r="L172" s="240"/>
      <c r="M172" s="240"/>
      <c r="N172" s="267"/>
    </row>
  </sheetData>
  <pageMargins left="0.7" right="0.7" top="0.75" bottom="0.75" header="0.51180555555555496" footer="0.51180555555555496"/>
  <pageSetup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AF41"/>
  <sheetViews>
    <sheetView workbookViewId="0">
      <pane xSplit="1" topLeftCell="B1" activePane="topRight" state="frozen"/>
      <selection activeCell="A4" sqref="A4"/>
      <selection pane="topRight" activeCell="L28" sqref="L28"/>
    </sheetView>
  </sheetViews>
  <sheetFormatPr baseColWidth="10" defaultColWidth="11.42578125" defaultRowHeight="15" x14ac:dyDescent="0.25"/>
  <cols>
    <col min="1" max="1" width="34.7109375" bestFit="1" customWidth="1"/>
    <col min="3" max="3" width="13.140625" bestFit="1" customWidth="1"/>
    <col min="4" max="7" width="11.42578125" hidden="1" customWidth="1"/>
    <col min="9" max="9" width="11.42578125" hidden="1" customWidth="1"/>
    <col min="10" max="10" width="13.140625" style="1" customWidth="1"/>
    <col min="16" max="16" width="17" style="1" customWidth="1"/>
    <col min="17" max="17" width="16.85546875" customWidth="1"/>
    <col min="18" max="18" width="15.140625" customWidth="1"/>
    <col min="19" max="19" width="16.140625" hidden="1" customWidth="1"/>
    <col min="20" max="20" width="11.42578125" hidden="1" customWidth="1"/>
    <col min="21" max="21" width="13.140625" hidden="1" customWidth="1"/>
    <col min="22" max="22" width="13.42578125" hidden="1" customWidth="1"/>
    <col min="23" max="23" width="13.42578125" style="1" customWidth="1"/>
    <col min="24" max="24" width="18.140625" customWidth="1"/>
    <col min="25" max="25" width="17.85546875" customWidth="1"/>
    <col min="26" max="26" width="12.42578125" bestFit="1" customWidth="1"/>
    <col min="30" max="30" width="14.7109375" customWidth="1"/>
    <col min="31" max="31" width="15.42578125" customWidth="1"/>
    <col min="32" max="32" width="9" customWidth="1"/>
  </cols>
  <sheetData>
    <row r="3" spans="1:32" ht="15.75" thickBot="1" x14ac:dyDescent="0.3"/>
    <row r="4" spans="1:32" ht="15" customHeight="1" thickBot="1" x14ac:dyDescent="0.3">
      <c r="A4" s="321">
        <v>2016</v>
      </c>
      <c r="B4" s="327" t="s">
        <v>130</v>
      </c>
      <c r="C4" s="327"/>
      <c r="D4" s="327"/>
      <c r="E4" s="327"/>
      <c r="F4" s="327"/>
      <c r="G4" s="327"/>
      <c r="H4" s="327"/>
      <c r="I4" s="327"/>
      <c r="J4" s="327"/>
      <c r="K4" s="325" t="s">
        <v>131</v>
      </c>
      <c r="L4" s="326"/>
      <c r="M4" s="326"/>
      <c r="N4" s="326"/>
      <c r="O4" s="326"/>
      <c r="P4" s="326"/>
      <c r="Q4" s="59" t="s">
        <v>132</v>
      </c>
      <c r="R4" s="62" t="s">
        <v>133</v>
      </c>
      <c r="S4" s="328" t="s">
        <v>134</v>
      </c>
      <c r="T4" s="328"/>
      <c r="U4" s="328"/>
      <c r="V4" s="328"/>
      <c r="W4" s="329"/>
      <c r="X4" s="323" t="s">
        <v>139</v>
      </c>
      <c r="Y4" s="330" t="s">
        <v>138</v>
      </c>
    </row>
    <row r="5" spans="1:32" ht="45.75" thickBot="1" x14ac:dyDescent="0.3">
      <c r="A5" s="322"/>
      <c r="B5" s="67" t="s">
        <v>108</v>
      </c>
      <c r="C5" s="35" t="s">
        <v>109</v>
      </c>
      <c r="D5" s="35" t="s">
        <v>110</v>
      </c>
      <c r="E5" s="35" t="s">
        <v>111</v>
      </c>
      <c r="F5" s="35" t="s">
        <v>112</v>
      </c>
      <c r="G5" s="35" t="s">
        <v>113</v>
      </c>
      <c r="H5" s="35" t="s">
        <v>114</v>
      </c>
      <c r="I5" s="36" t="s">
        <v>115</v>
      </c>
      <c r="J5" s="49" t="s">
        <v>135</v>
      </c>
      <c r="K5" s="50" t="s">
        <v>116</v>
      </c>
      <c r="L5" s="51" t="s">
        <v>117</v>
      </c>
      <c r="M5" s="51" t="s">
        <v>118</v>
      </c>
      <c r="N5" s="51" t="s">
        <v>119</v>
      </c>
      <c r="O5" s="52" t="s">
        <v>120</v>
      </c>
      <c r="P5" s="53" t="s">
        <v>136</v>
      </c>
      <c r="Q5" s="60" t="s">
        <v>33</v>
      </c>
      <c r="R5" s="54" t="s">
        <v>121</v>
      </c>
      <c r="S5" s="55" t="s">
        <v>122</v>
      </c>
      <c r="T5" s="56" t="s">
        <v>123</v>
      </c>
      <c r="U5" s="56" t="s">
        <v>124</v>
      </c>
      <c r="V5" s="57" t="s">
        <v>125</v>
      </c>
      <c r="W5" s="63" t="s">
        <v>137</v>
      </c>
      <c r="X5" s="324"/>
      <c r="Y5" s="331"/>
    </row>
    <row r="6" spans="1:32" x14ac:dyDescent="0.25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332"/>
      <c r="T6" s="332"/>
      <c r="U6" s="332"/>
      <c r="V6" s="332"/>
      <c r="W6" s="24"/>
      <c r="X6" s="24"/>
      <c r="Y6" s="23"/>
    </row>
    <row r="7" spans="1:32" x14ac:dyDescent="0.25">
      <c r="A7" s="18" t="s">
        <v>126</v>
      </c>
      <c r="B7" s="26">
        <v>4132788998</v>
      </c>
      <c r="C7" s="26">
        <v>3896888189</v>
      </c>
      <c r="D7" s="25"/>
      <c r="E7" s="26"/>
      <c r="F7" s="26"/>
      <c r="G7" s="27"/>
      <c r="H7" s="25">
        <f>-6113832*625</f>
        <v>-3821145000</v>
      </c>
      <c r="I7" s="33"/>
      <c r="J7" s="47">
        <f>SUM(B7:I7)</f>
        <v>4208532187</v>
      </c>
      <c r="K7" s="32">
        <v>1169858662</v>
      </c>
      <c r="L7" s="25">
        <f>830491*655.96</f>
        <v>544768876.36000001</v>
      </c>
      <c r="M7" s="25">
        <f>2144667901*2.06</f>
        <v>4418015876.0600004</v>
      </c>
      <c r="N7" s="25">
        <f>-6028619*625</f>
        <v>-3767886875</v>
      </c>
      <c r="O7" s="37">
        <f>-3923762*655.96</f>
        <v>-2573830921.52</v>
      </c>
      <c r="P7" s="48">
        <f>SUM(K7:O7)</f>
        <v>-209074382.0999999</v>
      </c>
      <c r="Q7" s="61">
        <v>4268913564</v>
      </c>
      <c r="R7" s="40">
        <v>2321089880</v>
      </c>
      <c r="S7" s="313"/>
      <c r="T7" s="313"/>
      <c r="U7" s="313"/>
      <c r="V7" s="314"/>
      <c r="W7" s="64">
        <v>-972147576</v>
      </c>
      <c r="X7" s="65">
        <f>+R7+Q7+P7+J7+W7</f>
        <v>9617313672.8999996</v>
      </c>
      <c r="Y7" s="66">
        <v>9617313673.3414707</v>
      </c>
      <c r="Z7" s="71"/>
    </row>
    <row r="8" spans="1:32" ht="15.75" thickBot="1" x14ac:dyDescent="0.3">
      <c r="A8" s="18" t="s">
        <v>127</v>
      </c>
      <c r="B8" s="26"/>
      <c r="C8" s="26"/>
      <c r="D8" s="25"/>
      <c r="E8" s="26"/>
      <c r="F8" s="26"/>
      <c r="G8" s="27"/>
      <c r="H8" s="25"/>
      <c r="I8" s="33"/>
      <c r="J8" s="41">
        <f>J7/Y7</f>
        <v>0.43759955533796935</v>
      </c>
      <c r="K8" s="32"/>
      <c r="L8" s="25"/>
      <c r="M8" s="25"/>
      <c r="N8" s="25"/>
      <c r="O8" s="37"/>
      <c r="P8" s="42">
        <f>P7/Y7</f>
        <v>-2.1739374341042828E-2</v>
      </c>
      <c r="Q8" s="43">
        <f>Q7/Y7</f>
        <v>0.44387795895990517</v>
      </c>
      <c r="R8" s="44">
        <f>R7/Y7</f>
        <v>0.2413449284111322</v>
      </c>
      <c r="S8" s="313"/>
      <c r="T8" s="313"/>
      <c r="U8" s="313"/>
      <c r="V8" s="314"/>
      <c r="W8" s="58">
        <f>+W7/Y7</f>
        <v>-0.10108306841386758</v>
      </c>
      <c r="X8" s="58">
        <f>+R8+Q8+P8+J8+W8</f>
        <v>0.99999999995409616</v>
      </c>
      <c r="Y8" s="30">
        <v>1</v>
      </c>
      <c r="Z8" s="72"/>
    </row>
    <row r="9" spans="1:32" ht="15.75" thickBot="1" x14ac:dyDescent="0.3">
      <c r="A9" s="18" t="s">
        <v>128</v>
      </c>
      <c r="B9" s="26">
        <v>7411484822</v>
      </c>
      <c r="C9" s="26">
        <v>8213264386</v>
      </c>
      <c r="D9" s="25"/>
      <c r="E9" s="26"/>
      <c r="F9" s="26"/>
      <c r="G9" s="27"/>
      <c r="H9" s="25">
        <f>-6167356*625</f>
        <v>-3854597500</v>
      </c>
      <c r="I9" s="33"/>
      <c r="J9" s="47">
        <f>SUM(B9:I9)</f>
        <v>11770151708</v>
      </c>
      <c r="K9" s="32">
        <v>-962102534</v>
      </c>
      <c r="L9" s="25">
        <f>2452549*655.96</f>
        <v>1608774042.0400002</v>
      </c>
      <c r="M9" s="25">
        <f>2166669448*2.06</f>
        <v>4463339062.8800001</v>
      </c>
      <c r="N9" s="25">
        <f>-5162832*625</f>
        <v>-3226770000</v>
      </c>
      <c r="O9" s="37">
        <f>7210345*655.96</f>
        <v>4729697906.1999998</v>
      </c>
      <c r="P9" s="48">
        <f>SUM(K9:O9)</f>
        <v>6612938477.1199999</v>
      </c>
      <c r="Q9" s="61">
        <v>6202912282</v>
      </c>
      <c r="R9" s="40">
        <v>936349362</v>
      </c>
      <c r="S9" s="313"/>
      <c r="T9" s="313"/>
      <c r="U9" s="313"/>
      <c r="V9" s="314"/>
      <c r="W9" s="64">
        <v>-738303860</v>
      </c>
      <c r="X9" s="65">
        <f t="shared" ref="X9:X19" si="0">+R9+Q9+P9+J9+W9</f>
        <v>24784047969.119999</v>
      </c>
      <c r="Y9" s="66">
        <v>24784047968.501099</v>
      </c>
      <c r="Z9" s="71"/>
      <c r="AA9" s="301"/>
      <c r="AB9" s="302"/>
      <c r="AC9" s="85" t="s">
        <v>152</v>
      </c>
      <c r="AD9" s="86" t="s">
        <v>148</v>
      </c>
      <c r="AE9" s="86" t="s">
        <v>150</v>
      </c>
      <c r="AF9" s="87" t="s">
        <v>151</v>
      </c>
    </row>
    <row r="10" spans="1:32" x14ac:dyDescent="0.25">
      <c r="A10" s="18" t="s">
        <v>129</v>
      </c>
      <c r="B10" s="26"/>
      <c r="C10" s="26"/>
      <c r="D10" s="25"/>
      <c r="E10" s="26"/>
      <c r="F10" s="26"/>
      <c r="G10" s="27"/>
      <c r="H10" s="25"/>
      <c r="I10" s="33"/>
      <c r="J10" s="41">
        <f>J9/Y9</f>
        <v>0.47490836537110853</v>
      </c>
      <c r="K10" s="32"/>
      <c r="L10" s="25"/>
      <c r="M10" s="25"/>
      <c r="N10" s="25"/>
      <c r="O10" s="37"/>
      <c r="P10" s="42">
        <f>P9/Y9</f>
        <v>0.26682237241973594</v>
      </c>
      <c r="Q10" s="45">
        <f>Q9/Y9</f>
        <v>0.25027841658003147</v>
      </c>
      <c r="R10" s="44">
        <f>+R9/Y9</f>
        <v>3.7780323988641354E-2</v>
      </c>
      <c r="S10" s="313"/>
      <c r="T10" s="313"/>
      <c r="U10" s="313"/>
      <c r="V10" s="314"/>
      <c r="W10" s="58">
        <f>+W9/Y9</f>
        <v>-2.9789478334545504E-2</v>
      </c>
      <c r="X10" s="58">
        <f t="shared" si="0"/>
        <v>1.0000000000249718</v>
      </c>
      <c r="Y10" s="31">
        <v>1</v>
      </c>
      <c r="Z10" s="72"/>
      <c r="AA10" s="305" t="s">
        <v>140</v>
      </c>
      <c r="AB10" s="309" t="s">
        <v>141</v>
      </c>
      <c r="AC10" s="83" t="s">
        <v>108</v>
      </c>
      <c r="AD10" s="84">
        <f>+B7</f>
        <v>4132788998</v>
      </c>
      <c r="AE10" s="316">
        <f>SUM(AD10:AD17)</f>
        <v>15303465505</v>
      </c>
      <c r="AF10" s="319">
        <f>+AE10/AD26</f>
        <v>1.5912411745623556</v>
      </c>
    </row>
    <row r="11" spans="1:32" x14ac:dyDescent="0.25">
      <c r="A11" s="2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312"/>
      <c r="T11" s="312"/>
      <c r="U11" s="312"/>
      <c r="V11" s="312"/>
      <c r="W11" s="28"/>
      <c r="X11" s="28"/>
      <c r="Y11" s="38"/>
      <c r="Z11" s="72"/>
      <c r="AA11" s="305"/>
      <c r="AB11" s="309"/>
      <c r="AC11" s="76" t="s">
        <v>109</v>
      </c>
      <c r="AD11" s="77">
        <f>+C7</f>
        <v>3896888189</v>
      </c>
      <c r="AE11" s="317"/>
      <c r="AF11" s="320"/>
    </row>
    <row r="12" spans="1:32" x14ac:dyDescent="0.25">
      <c r="A12" s="19" t="s">
        <v>107</v>
      </c>
      <c r="B12" s="26">
        <v>91803668184</v>
      </c>
      <c r="C12" s="26">
        <v>21009985122</v>
      </c>
      <c r="D12" s="25"/>
      <c r="E12" s="26"/>
      <c r="F12" s="26"/>
      <c r="G12" s="27"/>
      <c r="H12" s="25">
        <f>37753035*625</f>
        <v>23595646875</v>
      </c>
      <c r="I12" s="33"/>
      <c r="J12" s="47">
        <f t="shared" ref="J12:J14" si="1">SUM(B12:I12)</f>
        <v>136409300181</v>
      </c>
      <c r="K12" s="32">
        <v>72121960435</v>
      </c>
      <c r="L12" s="25">
        <f>59940409*655.96</f>
        <v>39318510687.639999</v>
      </c>
      <c r="M12" s="25">
        <f>7968130912*2.06</f>
        <v>16414349678.720001</v>
      </c>
      <c r="N12" s="25">
        <f>33093743*625</f>
        <v>20683589375</v>
      </c>
      <c r="O12" s="37">
        <f>72634*655.96</f>
        <v>47644998.640000001</v>
      </c>
      <c r="P12" s="48">
        <f t="shared" ref="P12:P14" si="2">SUM(K12:O12)</f>
        <v>148586055175</v>
      </c>
      <c r="Q12" s="61">
        <v>44440597939</v>
      </c>
      <c r="R12" s="40">
        <v>1827232205</v>
      </c>
      <c r="S12" s="313"/>
      <c r="T12" s="313"/>
      <c r="U12" s="313"/>
      <c r="V12" s="314"/>
      <c r="W12" s="64">
        <v>1113050292</v>
      </c>
      <c r="X12" s="65">
        <f t="shared" si="0"/>
        <v>332376235792</v>
      </c>
      <c r="Y12" s="66">
        <v>332376235791.84998</v>
      </c>
      <c r="Z12" s="71"/>
      <c r="AA12" s="305"/>
      <c r="AB12" s="309"/>
      <c r="AC12" s="76" t="s">
        <v>110</v>
      </c>
      <c r="AD12" s="78">
        <f>+W7/6</f>
        <v>-162024596</v>
      </c>
      <c r="AE12" s="317"/>
      <c r="AF12" s="320"/>
    </row>
    <row r="13" spans="1:32" x14ac:dyDescent="0.25">
      <c r="A13" s="19" t="s">
        <v>98</v>
      </c>
      <c r="B13" s="26">
        <v>14138590275</v>
      </c>
      <c r="C13" s="26">
        <v>18723191146</v>
      </c>
      <c r="D13" s="25"/>
      <c r="E13" s="26"/>
      <c r="F13" s="26"/>
      <c r="G13" s="27"/>
      <c r="H13" s="25">
        <f>+(2792487-1575624)*625</f>
        <v>760539375</v>
      </c>
      <c r="I13" s="33"/>
      <c r="J13" s="47">
        <f t="shared" si="1"/>
        <v>33622320796</v>
      </c>
      <c r="K13" s="32">
        <v>19315836752</v>
      </c>
      <c r="L13" s="25">
        <f>(7098246*655.96)/2</f>
        <v>2328082723.0799999</v>
      </c>
      <c r="M13" s="25">
        <f>1242163585*2.06</f>
        <v>2558856985.0999999</v>
      </c>
      <c r="N13" s="25">
        <f>1477300.2*625</f>
        <v>923312625</v>
      </c>
      <c r="O13" s="37">
        <v>0</v>
      </c>
      <c r="P13" s="48">
        <f t="shared" si="2"/>
        <v>25126089085.18</v>
      </c>
      <c r="Q13" s="61">
        <v>11689997944</v>
      </c>
      <c r="R13" s="40">
        <v>0</v>
      </c>
      <c r="S13" s="313"/>
      <c r="T13" s="313"/>
      <c r="U13" s="313"/>
      <c r="V13" s="314"/>
      <c r="W13" s="64">
        <v>0</v>
      </c>
      <c r="X13" s="65">
        <f t="shared" si="0"/>
        <v>70438407825.179993</v>
      </c>
      <c r="Y13" s="66">
        <f>X13</f>
        <v>70438407825.179993</v>
      </c>
      <c r="Z13" s="71"/>
      <c r="AA13" s="305"/>
      <c r="AB13" s="309"/>
      <c r="AC13" s="76" t="s">
        <v>111</v>
      </c>
      <c r="AD13" s="78">
        <v>-162024596</v>
      </c>
      <c r="AE13" s="317"/>
      <c r="AF13" s="320"/>
    </row>
    <row r="14" spans="1:32" x14ac:dyDescent="0.25">
      <c r="A14" s="19" t="s">
        <v>99</v>
      </c>
      <c r="B14" s="26">
        <f>738440991+335936734</f>
        <v>1074377725</v>
      </c>
      <c r="C14" s="26">
        <f>927471924</f>
        <v>927471924</v>
      </c>
      <c r="D14" s="25"/>
      <c r="E14" s="26"/>
      <c r="F14" s="26"/>
      <c r="G14" s="27"/>
      <c r="H14" s="25">
        <f>1575624*625</f>
        <v>984765000</v>
      </c>
      <c r="I14" s="33"/>
      <c r="J14" s="47">
        <f t="shared" si="1"/>
        <v>2986614649</v>
      </c>
      <c r="K14" s="32">
        <f>6640990181+628079110</f>
        <v>7269069291</v>
      </c>
      <c r="L14" s="25">
        <f>(7098246*655.96)/4</f>
        <v>1164041361.54</v>
      </c>
      <c r="M14" s="25">
        <v>0</v>
      </c>
      <c r="N14" s="25">
        <f>(2907788-1477300.2)*625</f>
        <v>894054875</v>
      </c>
      <c r="O14" s="37">
        <f>598505*655.96</f>
        <v>392595339.80000001</v>
      </c>
      <c r="P14" s="48">
        <f t="shared" si="2"/>
        <v>9719760867.3400002</v>
      </c>
      <c r="Q14" s="61">
        <f>11519001237+3101497762</f>
        <v>14620498999</v>
      </c>
      <c r="R14" s="40">
        <v>0</v>
      </c>
      <c r="S14" s="313"/>
      <c r="T14" s="313"/>
      <c r="U14" s="313"/>
      <c r="V14" s="314"/>
      <c r="W14" s="64">
        <v>2033517425</v>
      </c>
      <c r="X14" s="65">
        <f t="shared" si="0"/>
        <v>29360391940.34</v>
      </c>
      <c r="Y14" s="66">
        <f>99798799765.128-Y13</f>
        <v>29360391939.948013</v>
      </c>
      <c r="Z14" s="71"/>
      <c r="AA14" s="305"/>
      <c r="AB14" s="309"/>
      <c r="AC14" s="79" t="s">
        <v>116</v>
      </c>
      <c r="AD14" s="77">
        <f>+K7</f>
        <v>1169858662</v>
      </c>
      <c r="AE14" s="317"/>
      <c r="AF14" s="320"/>
    </row>
    <row r="15" spans="1:32" x14ac:dyDescent="0.25">
      <c r="A15" s="19" t="s">
        <v>100</v>
      </c>
      <c r="B15" s="26">
        <f>6264628402*0.61</f>
        <v>3821423325.2199998</v>
      </c>
      <c r="C15" s="26">
        <f>10335732724*0.49</f>
        <v>5064509034.7600002</v>
      </c>
      <c r="D15" s="25"/>
      <c r="E15" s="26"/>
      <c r="F15" s="26"/>
      <c r="G15" s="27"/>
      <c r="H15" s="25">
        <f>1111111*625</f>
        <v>694444375</v>
      </c>
      <c r="I15" s="33"/>
      <c r="J15" s="47">
        <f t="shared" ref="J15:J16" si="3">SUM(B15:I15)</f>
        <v>9580376734.9799995</v>
      </c>
      <c r="K15" s="32">
        <f>10841765468*0.5559*0.6806</f>
        <v>4101933610.5438123</v>
      </c>
      <c r="L15" s="25">
        <f>+(9491704*655.96)*0.5559*0.6*0.5</f>
        <v>1038339731.0494367</v>
      </c>
      <c r="M15" s="25">
        <f>2959333521*0.5559*0.703*2.06*0.5</f>
        <v>1191195755.5458925</v>
      </c>
      <c r="N15" s="25">
        <f>1337130.15*625*0.5559</f>
        <v>464569156.49062496</v>
      </c>
      <c r="O15" s="37">
        <f>30129442*655.96*0.5559*0.75</f>
        <v>8239984280.733366</v>
      </c>
      <c r="P15" s="48">
        <f t="shared" ref="P15:P16" si="4">SUM(K15:O15)</f>
        <v>15036022534.363132</v>
      </c>
      <c r="Q15" s="61">
        <f>863011730*0.515</f>
        <v>444451040.94999999</v>
      </c>
      <c r="R15" s="40">
        <v>3374717549</v>
      </c>
      <c r="S15" s="313"/>
      <c r="T15" s="313"/>
      <c r="U15" s="313"/>
      <c r="V15" s="314"/>
      <c r="W15" s="64">
        <v>1177273720</v>
      </c>
      <c r="X15" s="65">
        <f t="shared" si="0"/>
        <v>29612841579.293133</v>
      </c>
      <c r="Y15" s="66">
        <v>29612841579.1758</v>
      </c>
      <c r="Z15" s="71"/>
      <c r="AA15" s="305"/>
      <c r="AB15" s="309"/>
      <c r="AC15" s="76" t="s">
        <v>33</v>
      </c>
      <c r="AD15" s="77">
        <f>+Q7</f>
        <v>4268913564</v>
      </c>
      <c r="AE15" s="317"/>
      <c r="AF15" s="320"/>
    </row>
    <row r="16" spans="1:32" x14ac:dyDescent="0.25">
      <c r="A16" s="68" t="s">
        <v>101</v>
      </c>
      <c r="B16" s="26">
        <v>4588599362</v>
      </c>
      <c r="C16" s="26">
        <v>4908585156</v>
      </c>
      <c r="D16" s="25"/>
      <c r="E16" s="26"/>
      <c r="F16" s="26"/>
      <c r="G16" s="27"/>
      <c r="H16" s="25">
        <f>754916*625</f>
        <v>471822500</v>
      </c>
      <c r="I16" s="33"/>
      <c r="J16" s="47">
        <f t="shared" si="3"/>
        <v>9969007018</v>
      </c>
      <c r="K16" s="32">
        <v>4262914997</v>
      </c>
      <c r="L16" s="25">
        <f>+(2930501)*655.96</f>
        <v>1922291435.96</v>
      </c>
      <c r="M16" s="25">
        <f>801282333*2.06</f>
        <v>1650641605.98</v>
      </c>
      <c r="N16" s="25">
        <f>2828918.11*625</f>
        <v>1768073818.75</v>
      </c>
      <c r="O16" s="37">
        <f>+(168922+9121419+918997+17153)*655.96</f>
        <v>6708169036.3600006</v>
      </c>
      <c r="P16" s="48">
        <f t="shared" si="4"/>
        <v>16312090894.050001</v>
      </c>
      <c r="Q16" s="61">
        <v>4416332322</v>
      </c>
      <c r="R16" s="40">
        <v>3140326500</v>
      </c>
      <c r="S16" s="313"/>
      <c r="T16" s="313"/>
      <c r="U16" s="313"/>
      <c r="V16" s="314"/>
      <c r="W16" s="64">
        <v>325091083</v>
      </c>
      <c r="X16" s="65">
        <f t="shared" si="0"/>
        <v>34162847817.050003</v>
      </c>
      <c r="Y16" s="66">
        <v>34162847817.282902</v>
      </c>
      <c r="Z16" s="71"/>
      <c r="AA16" s="305"/>
      <c r="AB16" s="309"/>
      <c r="AC16" s="79" t="s">
        <v>121</v>
      </c>
      <c r="AD16" s="77">
        <f>+R7</f>
        <v>2321089880</v>
      </c>
      <c r="AE16" s="317"/>
      <c r="AF16" s="320"/>
    </row>
    <row r="17" spans="1:32" ht="15.75" thickBot="1" x14ac:dyDescent="0.3">
      <c r="A17" s="69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312"/>
      <c r="T17" s="312"/>
      <c r="U17" s="312"/>
      <c r="V17" s="312"/>
      <c r="W17" s="28"/>
      <c r="X17" s="28"/>
      <c r="Y17" s="38"/>
      <c r="Z17" s="72"/>
      <c r="AA17" s="305"/>
      <c r="AB17" s="310"/>
      <c r="AC17" s="79" t="s">
        <v>147</v>
      </c>
      <c r="AD17" s="78">
        <v>-162024596</v>
      </c>
      <c r="AE17" s="317"/>
      <c r="AF17" s="320"/>
    </row>
    <row r="18" spans="1:32" x14ac:dyDescent="0.25">
      <c r="A18" s="70" t="s">
        <v>102</v>
      </c>
      <c r="B18" s="26">
        <f>22403484599*0.61</f>
        <v>13666125605.389999</v>
      </c>
      <c r="C18" s="26">
        <f>3926853440*0.49</f>
        <v>1924158185.5999999</v>
      </c>
      <c r="D18" s="25"/>
      <c r="E18" s="26"/>
      <c r="F18" s="26"/>
      <c r="G18" s="27"/>
      <c r="H18" s="25">
        <f>(64057287-61196)*625*0.75</f>
        <v>29998167656.25</v>
      </c>
      <c r="I18" s="33"/>
      <c r="J18" s="47">
        <f t="shared" ref="J18:J19" si="5">SUM(B18:I18)</f>
        <v>45588451447.239998</v>
      </c>
      <c r="K18" s="32">
        <f>30425704853*0.5559*0.6806</f>
        <v>11511429732.488903</v>
      </c>
      <c r="L18" s="25">
        <f>(25658307-537049)*655.96*0.5559*0.6</f>
        <v>5496252364.2421865</v>
      </c>
      <c r="M18" s="25">
        <f>666666666*2.06*0.5559*0.703</f>
        <v>536695507.4633044</v>
      </c>
      <c r="N18" s="25">
        <f>(24821576-530063.54)*625*0.5559</f>
        <v>8439782360.321249</v>
      </c>
      <c r="O18" s="37">
        <f>10137038*655.96*0.5559</f>
        <v>3696452295.0982318</v>
      </c>
      <c r="P18" s="48">
        <f>SUM(K18:O18)</f>
        <v>29680612259.613873</v>
      </c>
      <c r="Q18" s="61">
        <f>13010843989*0.515</f>
        <v>6700584654.335</v>
      </c>
      <c r="R18" s="40">
        <v>29973052972</v>
      </c>
      <c r="S18" s="313"/>
      <c r="T18" s="313"/>
      <c r="U18" s="313"/>
      <c r="V18" s="314"/>
      <c r="W18" s="64">
        <v>4700002990</v>
      </c>
      <c r="X18" s="65">
        <f t="shared" si="0"/>
        <v>116642704323.18887</v>
      </c>
      <c r="Y18" s="66">
        <v>116642704322.98801</v>
      </c>
      <c r="Z18" s="71"/>
      <c r="AA18" s="305"/>
      <c r="AB18" s="306" t="s">
        <v>142</v>
      </c>
      <c r="AC18" s="79" t="s">
        <v>112</v>
      </c>
      <c r="AD18" s="78">
        <v>-162024596</v>
      </c>
      <c r="AE18" s="317">
        <f>SUM(AD18:AD20)</f>
        <v>220719684.36000001</v>
      </c>
      <c r="AF18" s="320">
        <f>AE18/AD26</f>
        <v>2.2950242850241182E-2</v>
      </c>
    </row>
    <row r="19" spans="1:32" x14ac:dyDescent="0.25">
      <c r="A19" s="19" t="s">
        <v>35</v>
      </c>
      <c r="B19" s="26">
        <f>9644312212</f>
        <v>9644312212</v>
      </c>
      <c r="C19" s="26">
        <f>24162671888</f>
        <v>24162671888</v>
      </c>
      <c r="D19" s="25"/>
      <c r="E19" s="26"/>
      <c r="F19" s="26"/>
      <c r="G19" s="27"/>
      <c r="H19" s="25">
        <f>61196*625</f>
        <v>38247500</v>
      </c>
      <c r="I19" s="33"/>
      <c r="J19" s="47">
        <f t="shared" si="5"/>
        <v>33845231600</v>
      </c>
      <c r="K19" s="32">
        <f>20599452487*0.6806</f>
        <v>14019987362.652199</v>
      </c>
      <c r="L19" s="25">
        <f>537049*655.96</f>
        <v>352282662.04000002</v>
      </c>
      <c r="M19" s="25">
        <v>0</v>
      </c>
      <c r="N19" s="25">
        <f>530063.54*625</f>
        <v>331289712.5</v>
      </c>
      <c r="O19" s="37">
        <f>+(2819030)*655.96</f>
        <v>1849170918.8000002</v>
      </c>
      <c r="P19" s="48">
        <f t="shared" ref="P19" si="6">SUM(K19:O19)</f>
        <v>16552730655.992199</v>
      </c>
      <c r="Q19" s="61">
        <v>6548996576</v>
      </c>
      <c r="R19" s="40">
        <v>0</v>
      </c>
      <c r="S19" s="313"/>
      <c r="T19" s="313"/>
      <c r="U19" s="313"/>
      <c r="V19" s="314"/>
      <c r="W19" s="64">
        <v>3247010661</v>
      </c>
      <c r="X19" s="65">
        <f t="shared" si="0"/>
        <v>60193969492.992203</v>
      </c>
      <c r="Y19" s="66">
        <v>60193969492.663399</v>
      </c>
      <c r="Z19" s="71"/>
      <c r="AA19" s="305"/>
      <c r="AB19" s="307"/>
      <c r="AC19" s="79" t="s">
        <v>113</v>
      </c>
      <c r="AD19" s="78">
        <v>-162024596</v>
      </c>
      <c r="AE19" s="317"/>
      <c r="AF19" s="320"/>
    </row>
    <row r="20" spans="1:32" ht="15.75" thickBot="1" x14ac:dyDescent="0.3">
      <c r="A20" s="68" t="s">
        <v>103</v>
      </c>
      <c r="B20" s="26">
        <f t="shared" ref="B20:Q20" si="7">+B18+B19-B16</f>
        <v>18721838455.389999</v>
      </c>
      <c r="C20" s="25">
        <f t="shared" si="7"/>
        <v>21178244917.599998</v>
      </c>
      <c r="D20" s="25">
        <f>+D18+D19-D16</f>
        <v>0</v>
      </c>
      <c r="E20" s="25">
        <f t="shared" si="7"/>
        <v>0</v>
      </c>
      <c r="F20" s="25">
        <f t="shared" si="7"/>
        <v>0</v>
      </c>
      <c r="G20" s="25">
        <f t="shared" si="7"/>
        <v>0</v>
      </c>
      <c r="H20" s="25">
        <f t="shared" si="7"/>
        <v>29564592656.25</v>
      </c>
      <c r="I20" s="34">
        <f t="shared" si="7"/>
        <v>0</v>
      </c>
      <c r="J20" s="47">
        <f t="shared" si="7"/>
        <v>69464676029.23999</v>
      </c>
      <c r="K20" s="32">
        <f t="shared" si="7"/>
        <v>21268502098.141102</v>
      </c>
      <c r="L20" s="25">
        <f t="shared" si="7"/>
        <v>3926243590.3221865</v>
      </c>
      <c r="M20" s="25">
        <f t="shared" si="7"/>
        <v>-1113946098.5166955</v>
      </c>
      <c r="N20" s="25">
        <f t="shared" si="7"/>
        <v>7002998254.071249</v>
      </c>
      <c r="O20" s="37">
        <f t="shared" si="7"/>
        <v>-1162545822.4617691</v>
      </c>
      <c r="P20" s="48">
        <f t="shared" si="7"/>
        <v>29921252021.556068</v>
      </c>
      <c r="Q20" s="61">
        <f t="shared" si="7"/>
        <v>8833248908.3349991</v>
      </c>
      <c r="R20" s="40">
        <f>+R18+R19-R16</f>
        <v>26832726472</v>
      </c>
      <c r="S20" s="313"/>
      <c r="T20" s="313"/>
      <c r="U20" s="313"/>
      <c r="V20" s="314"/>
      <c r="W20" s="64">
        <f>+W19+W18-W16</f>
        <v>7621922568</v>
      </c>
      <c r="X20" s="65">
        <f>+X19+X18-X16</f>
        <v>142673825999.1311</v>
      </c>
      <c r="Y20" s="66">
        <f>+Y19+Y18-Y16</f>
        <v>142673825998.3685</v>
      </c>
      <c r="Z20" s="72"/>
      <c r="AA20" s="305"/>
      <c r="AB20" s="308"/>
      <c r="AC20" s="79" t="s">
        <v>117</v>
      </c>
      <c r="AD20" s="77">
        <f>+L7</f>
        <v>544768876.36000001</v>
      </c>
      <c r="AE20" s="317"/>
      <c r="AF20" s="320"/>
    </row>
    <row r="21" spans="1:32" ht="15.75" thickBot="1" x14ac:dyDescent="0.3">
      <c r="A21" s="2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5"/>
      <c r="T21" s="315"/>
      <c r="U21" s="315"/>
      <c r="V21" s="315"/>
      <c r="W21" s="29"/>
      <c r="X21" s="29"/>
      <c r="Y21" s="39"/>
      <c r="AA21" s="305"/>
      <c r="AB21" s="80" t="s">
        <v>143</v>
      </c>
      <c r="AC21" s="79" t="s">
        <v>118</v>
      </c>
      <c r="AD21" s="77">
        <f>+M7</f>
        <v>4418015876.0600004</v>
      </c>
      <c r="AE21" s="81">
        <f>AD21</f>
        <v>4418015876.0600004</v>
      </c>
      <c r="AF21" s="82">
        <f>+AE21/AD26</f>
        <v>0.45938148908558923</v>
      </c>
    </row>
    <row r="22" spans="1:32" x14ac:dyDescent="0.25">
      <c r="A22" s="17"/>
      <c r="U22" s="46"/>
      <c r="AA22" s="305"/>
      <c r="AB22" s="311" t="s">
        <v>144</v>
      </c>
      <c r="AC22" s="79" t="s">
        <v>119</v>
      </c>
      <c r="AD22" s="77">
        <f>+N7</f>
        <v>-3767886875</v>
      </c>
      <c r="AE22" s="318">
        <f>SUM(AD22:AD23)</f>
        <v>-7589031875</v>
      </c>
      <c r="AF22" s="320">
        <f>+AE22/AD26</f>
        <v>-0.78910100399289629</v>
      </c>
    </row>
    <row r="23" spans="1:32" ht="15.75" thickBot="1" x14ac:dyDescent="0.3">
      <c r="AA23" s="305"/>
      <c r="AB23" s="310"/>
      <c r="AC23" s="79" t="s">
        <v>114</v>
      </c>
      <c r="AD23" s="77">
        <f>+H7</f>
        <v>-3821145000</v>
      </c>
      <c r="AE23" s="317"/>
      <c r="AF23" s="320"/>
    </row>
    <row r="24" spans="1:32" ht="15.75" thickBot="1" x14ac:dyDescent="0.3">
      <c r="AA24" s="305"/>
      <c r="AB24" s="80" t="s">
        <v>145</v>
      </c>
      <c r="AC24" s="79" t="s">
        <v>120</v>
      </c>
      <c r="AD24" s="77">
        <f>+O7</f>
        <v>-2573830921.52</v>
      </c>
      <c r="AE24" s="81">
        <f>AD24</f>
        <v>-2573830921.52</v>
      </c>
      <c r="AF24" s="82">
        <f>+AE24/AD26</f>
        <v>-0.26762472443553853</v>
      </c>
    </row>
    <row r="25" spans="1:32" ht="15.75" thickBot="1" x14ac:dyDescent="0.3">
      <c r="AA25" s="305"/>
      <c r="AB25" s="88" t="s">
        <v>146</v>
      </c>
      <c r="AC25" s="89" t="s">
        <v>115</v>
      </c>
      <c r="AD25" s="90">
        <v>-162024596</v>
      </c>
      <c r="AE25" s="91">
        <f>AD25</f>
        <v>-162024596</v>
      </c>
      <c r="AF25" s="92">
        <f>+AE25/AD26</f>
        <v>-1.6847178069751275E-2</v>
      </c>
    </row>
    <row r="26" spans="1:32" ht="15" customHeight="1" thickBot="1" x14ac:dyDescent="0.3">
      <c r="U26" s="73"/>
      <c r="AA26" s="301" t="s">
        <v>149</v>
      </c>
      <c r="AB26" s="302"/>
      <c r="AC26" s="303"/>
      <c r="AD26" s="95">
        <f>SUM(AD10:AD25)</f>
        <v>9617313672.9000015</v>
      </c>
      <c r="AE26" s="93">
        <f>SUM(AE10:AE25)</f>
        <v>9617313672.9000015</v>
      </c>
      <c r="AF26" s="94">
        <f>SUM(AF10:AF25)</f>
        <v>1.0000000000000002</v>
      </c>
    </row>
    <row r="27" spans="1:32" x14ac:dyDescent="0.25">
      <c r="U27" s="73"/>
    </row>
    <row r="28" spans="1:32" x14ac:dyDescent="0.25">
      <c r="U28" s="73"/>
    </row>
    <row r="29" spans="1:32" x14ac:dyDescent="0.25">
      <c r="U29" s="73"/>
    </row>
    <row r="30" spans="1:32" s="1" customFormat="1" x14ac:dyDescent="0.25">
      <c r="U30" s="73"/>
    </row>
    <row r="31" spans="1:32" s="1" customFormat="1" x14ac:dyDescent="0.25">
      <c r="U31" s="73"/>
    </row>
    <row r="32" spans="1:32" s="1" customFormat="1" x14ac:dyDescent="0.25">
      <c r="U32" s="73"/>
    </row>
    <row r="33" spans="4:21" s="1" customFormat="1" x14ac:dyDescent="0.25">
      <c r="U33" s="73"/>
    </row>
    <row r="34" spans="4:21" x14ac:dyDescent="0.25">
      <c r="U34" s="304"/>
    </row>
    <row r="35" spans="4:21" x14ac:dyDescent="0.25">
      <c r="D35" s="15"/>
      <c r="U35" s="304"/>
    </row>
    <row r="36" spans="4:21" s="1" customFormat="1" x14ac:dyDescent="0.25">
      <c r="D36" s="16"/>
      <c r="U36" s="74"/>
    </row>
    <row r="37" spans="4:21" x14ac:dyDescent="0.25">
      <c r="U37" s="75"/>
    </row>
    <row r="38" spans="4:21" s="1" customFormat="1" x14ac:dyDescent="0.25">
      <c r="U38" s="75"/>
    </row>
    <row r="39" spans="4:21" x14ac:dyDescent="0.25">
      <c r="U39" s="74"/>
    </row>
    <row r="40" spans="4:21" x14ac:dyDescent="0.25">
      <c r="U40" s="74"/>
    </row>
    <row r="41" spans="4:21" x14ac:dyDescent="0.25">
      <c r="U41" s="74"/>
    </row>
  </sheetData>
  <mergeCells count="35">
    <mergeCell ref="Y4:Y5"/>
    <mergeCell ref="S12:V12"/>
    <mergeCell ref="S13:V13"/>
    <mergeCell ref="S14:V14"/>
    <mergeCell ref="S15:V15"/>
    <mergeCell ref="S7:V7"/>
    <mergeCell ref="S6:V6"/>
    <mergeCell ref="S8:V8"/>
    <mergeCell ref="S9:V9"/>
    <mergeCell ref="S10:V10"/>
    <mergeCell ref="A4:A5"/>
    <mergeCell ref="X4:X5"/>
    <mergeCell ref="K4:P4"/>
    <mergeCell ref="B4:J4"/>
    <mergeCell ref="S4:W4"/>
    <mergeCell ref="AE10:AE17"/>
    <mergeCell ref="AE18:AE20"/>
    <mergeCell ref="AE22:AE23"/>
    <mergeCell ref="AF10:AF17"/>
    <mergeCell ref="AF18:AF20"/>
    <mergeCell ref="AF22:AF23"/>
    <mergeCell ref="AA26:AC26"/>
    <mergeCell ref="AA9:AB9"/>
    <mergeCell ref="U34:U35"/>
    <mergeCell ref="AA10:AA25"/>
    <mergeCell ref="AB18:AB20"/>
    <mergeCell ref="AB10:AB17"/>
    <mergeCell ref="AB22:AB23"/>
    <mergeCell ref="S11:V11"/>
    <mergeCell ref="S18:V18"/>
    <mergeCell ref="S19:V19"/>
    <mergeCell ref="S20:V20"/>
    <mergeCell ref="S21:V21"/>
    <mergeCell ref="S16:V16"/>
    <mergeCell ref="S17:V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F47"/>
  <sheetViews>
    <sheetView zoomScale="90" zoomScaleNormal="90" workbookViewId="0">
      <selection activeCell="J7" sqref="J7"/>
    </sheetView>
  </sheetViews>
  <sheetFormatPr baseColWidth="10" defaultColWidth="11.42578125" defaultRowHeight="15" x14ac:dyDescent="0.25"/>
  <cols>
    <col min="1" max="1" width="36.85546875" style="1" customWidth="1"/>
    <col min="2" max="2" width="11.42578125" style="1"/>
    <col min="3" max="3" width="13.140625" style="1" bestFit="1" customWidth="1"/>
    <col min="4" max="7" width="11.42578125" style="1" hidden="1" customWidth="1"/>
    <col min="8" max="8" width="11.42578125" style="1"/>
    <col min="9" max="9" width="11.42578125" style="1" hidden="1" customWidth="1"/>
    <col min="10" max="10" width="13.140625" style="1" customWidth="1"/>
    <col min="11" max="15" width="11.42578125" style="1"/>
    <col min="16" max="16" width="17" style="1" customWidth="1"/>
    <col min="17" max="17" width="16.85546875" style="1" customWidth="1"/>
    <col min="18" max="18" width="15.140625" style="1" customWidth="1"/>
    <col min="19" max="19" width="16.140625" style="1" hidden="1" customWidth="1"/>
    <col min="20" max="20" width="11.42578125" style="1" hidden="1" customWidth="1"/>
    <col min="21" max="21" width="13.140625" style="1" hidden="1" customWidth="1"/>
    <col min="22" max="22" width="13.42578125" style="1" hidden="1" customWidth="1"/>
    <col min="23" max="23" width="13.42578125" style="1" customWidth="1"/>
    <col min="24" max="24" width="18.140625" style="1" customWidth="1"/>
    <col min="25" max="25" width="17.85546875" style="1" customWidth="1"/>
    <col min="26" max="26" width="12.42578125" style="1" bestFit="1" customWidth="1"/>
    <col min="27" max="29" width="11.42578125" style="1"/>
    <col min="30" max="30" width="14.7109375" style="1" customWidth="1"/>
    <col min="31" max="31" width="15.42578125" style="1" customWidth="1"/>
    <col min="32" max="32" width="9" style="1" customWidth="1"/>
    <col min="33" max="16384" width="11.42578125" style="1"/>
  </cols>
  <sheetData>
    <row r="3" spans="1:27" ht="15.75" thickBot="1" x14ac:dyDescent="0.3"/>
    <row r="4" spans="1:27" ht="15" customHeight="1" thickBot="1" x14ac:dyDescent="0.3">
      <c r="A4" s="321">
        <v>2017</v>
      </c>
      <c r="B4" s="327" t="s">
        <v>130</v>
      </c>
      <c r="C4" s="327"/>
      <c r="D4" s="327"/>
      <c r="E4" s="327"/>
      <c r="F4" s="327"/>
      <c r="G4" s="327"/>
      <c r="H4" s="327"/>
      <c r="I4" s="327"/>
      <c r="J4" s="327"/>
      <c r="K4" s="325" t="s">
        <v>131</v>
      </c>
      <c r="L4" s="326"/>
      <c r="M4" s="326"/>
      <c r="N4" s="326"/>
      <c r="O4" s="326"/>
      <c r="P4" s="326"/>
      <c r="Q4" s="59" t="s">
        <v>132</v>
      </c>
      <c r="R4" s="62" t="s">
        <v>133</v>
      </c>
      <c r="S4" s="328" t="s">
        <v>134</v>
      </c>
      <c r="T4" s="328"/>
      <c r="U4" s="328"/>
      <c r="V4" s="328"/>
      <c r="W4" s="329"/>
      <c r="X4" s="323" t="s">
        <v>139</v>
      </c>
      <c r="Y4" s="330" t="s">
        <v>138</v>
      </c>
    </row>
    <row r="5" spans="1:27" ht="45.75" thickBot="1" x14ac:dyDescent="0.3">
      <c r="A5" s="322"/>
      <c r="B5" s="67" t="s">
        <v>108</v>
      </c>
      <c r="C5" s="35" t="s">
        <v>109</v>
      </c>
      <c r="D5" s="35" t="s">
        <v>110</v>
      </c>
      <c r="E5" s="35" t="s">
        <v>111</v>
      </c>
      <c r="F5" s="35" t="s">
        <v>112</v>
      </c>
      <c r="G5" s="35" t="s">
        <v>113</v>
      </c>
      <c r="H5" s="35" t="s">
        <v>114</v>
      </c>
      <c r="I5" s="36" t="s">
        <v>115</v>
      </c>
      <c r="J5" s="49" t="s">
        <v>135</v>
      </c>
      <c r="K5" s="50" t="s">
        <v>116</v>
      </c>
      <c r="L5" s="51" t="s">
        <v>117</v>
      </c>
      <c r="M5" s="51" t="s">
        <v>153</v>
      </c>
      <c r="N5" s="51" t="s">
        <v>119</v>
      </c>
      <c r="O5" s="52" t="s">
        <v>120</v>
      </c>
      <c r="P5" s="53" t="s">
        <v>136</v>
      </c>
      <c r="Q5" s="60" t="s">
        <v>33</v>
      </c>
      <c r="R5" s="54" t="s">
        <v>121</v>
      </c>
      <c r="S5" s="55" t="s">
        <v>122</v>
      </c>
      <c r="T5" s="56" t="s">
        <v>123</v>
      </c>
      <c r="U5" s="56" t="s">
        <v>124</v>
      </c>
      <c r="V5" s="57" t="s">
        <v>125</v>
      </c>
      <c r="W5" s="63" t="s">
        <v>137</v>
      </c>
      <c r="X5" s="324"/>
      <c r="Y5" s="331"/>
    </row>
    <row r="6" spans="1:27" x14ac:dyDescent="0.25">
      <c r="A6" s="20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332"/>
      <c r="T6" s="332"/>
      <c r="U6" s="332"/>
      <c r="V6" s="332"/>
      <c r="W6" s="97"/>
      <c r="X6" s="97"/>
      <c r="Y6" s="23"/>
    </row>
    <row r="7" spans="1:27" x14ac:dyDescent="0.25">
      <c r="A7" s="18" t="s">
        <v>126</v>
      </c>
      <c r="B7" s="26">
        <v>7750</v>
      </c>
      <c r="C7" s="26">
        <v>1913</v>
      </c>
      <c r="D7" s="25"/>
      <c r="E7" s="26"/>
      <c r="F7" s="26"/>
      <c r="G7" s="96"/>
      <c r="H7" s="25">
        <v>-4820</v>
      </c>
      <c r="I7" s="33"/>
      <c r="J7" s="47">
        <f>SUM(B7:I7)</f>
        <v>4843</v>
      </c>
      <c r="K7" s="32">
        <v>9965</v>
      </c>
      <c r="L7" s="25">
        <v>5797</v>
      </c>
      <c r="M7" s="25">
        <v>7943</v>
      </c>
      <c r="N7" s="25">
        <v>2241</v>
      </c>
      <c r="O7" s="37">
        <v>-1317</v>
      </c>
      <c r="P7" s="48">
        <f>SUM(K7:O7)</f>
        <v>24629</v>
      </c>
      <c r="Q7" s="61">
        <v>4690</v>
      </c>
      <c r="R7" s="40">
        <v>-1652</v>
      </c>
      <c r="S7" s="313"/>
      <c r="T7" s="313"/>
      <c r="U7" s="313"/>
      <c r="V7" s="314"/>
      <c r="W7" s="64">
        <f>29677-R7-Q7-P7-J7</f>
        <v>-2833</v>
      </c>
      <c r="X7" s="65">
        <f>+R7+Q7+P7+J7+W7</f>
        <v>29677</v>
      </c>
      <c r="Y7" s="66" t="e">
        <f>#REF!</f>
        <v>#REF!</v>
      </c>
      <c r="Z7" s="71"/>
      <c r="AA7" s="7"/>
    </row>
    <row r="8" spans="1:27" x14ac:dyDescent="0.25">
      <c r="A8" s="18" t="s">
        <v>127</v>
      </c>
      <c r="B8" s="26"/>
      <c r="C8" s="26"/>
      <c r="D8" s="25"/>
      <c r="E8" s="26"/>
      <c r="F8" s="26"/>
      <c r="G8" s="96"/>
      <c r="H8" s="25"/>
      <c r="I8" s="33"/>
      <c r="J8" s="41" t="e">
        <f>J7/Y7</f>
        <v>#REF!</v>
      </c>
      <c r="K8" s="32"/>
      <c r="L8" s="25"/>
      <c r="M8" s="25"/>
      <c r="N8" s="25"/>
      <c r="O8" s="37"/>
      <c r="P8" s="42" t="e">
        <f>P7/Y7</f>
        <v>#REF!</v>
      </c>
      <c r="Q8" s="43" t="e">
        <f>Q7/Y7</f>
        <v>#REF!</v>
      </c>
      <c r="R8" s="44" t="e">
        <f>R7/Y7</f>
        <v>#REF!</v>
      </c>
      <c r="S8" s="313"/>
      <c r="T8" s="313"/>
      <c r="U8" s="313"/>
      <c r="V8" s="314"/>
      <c r="W8" s="58" t="e">
        <f>+W7/Y7</f>
        <v>#REF!</v>
      </c>
      <c r="X8" s="58" t="e">
        <f>+R8+Q8+P8+J8+W8</f>
        <v>#REF!</v>
      </c>
      <c r="Y8" s="30">
        <v>1</v>
      </c>
      <c r="Z8" s="72"/>
    </row>
    <row r="9" spans="1:27" x14ac:dyDescent="0.25">
      <c r="A9" s="18" t="s">
        <v>128</v>
      </c>
      <c r="B9" s="26">
        <v>11995</v>
      </c>
      <c r="C9" s="26">
        <v>3950</v>
      </c>
      <c r="D9" s="25"/>
      <c r="E9" s="26"/>
      <c r="F9" s="26"/>
      <c r="G9" s="96"/>
      <c r="H9" s="25">
        <v>-4778</v>
      </c>
      <c r="I9" s="33"/>
      <c r="J9" s="47">
        <f>SUM(B9:I9)</f>
        <v>11167</v>
      </c>
      <c r="K9" s="32">
        <v>17465</v>
      </c>
      <c r="L9" s="25">
        <v>6654</v>
      </c>
      <c r="M9" s="25">
        <v>8551</v>
      </c>
      <c r="N9" s="25">
        <v>-979</v>
      </c>
      <c r="O9" s="37">
        <v>6377</v>
      </c>
      <c r="P9" s="48">
        <f>SUM(K9:O9)</f>
        <v>38068</v>
      </c>
      <c r="Q9" s="61">
        <v>3954</v>
      </c>
      <c r="R9" s="40">
        <v>1055</v>
      </c>
      <c r="S9" s="313"/>
      <c r="T9" s="313"/>
      <c r="U9" s="313"/>
      <c r="V9" s="314"/>
      <c r="W9" s="64">
        <f>55276-R9-Q9-P9-J9</f>
        <v>1032</v>
      </c>
      <c r="X9" s="65">
        <f t="shared" ref="X9:X18" si="0">+R9+Q9+P9+J9+W9</f>
        <v>55276</v>
      </c>
      <c r="Y9" s="66" t="e">
        <f>#REF!</f>
        <v>#REF!</v>
      </c>
      <c r="Z9" s="71"/>
    </row>
    <row r="10" spans="1:27" x14ac:dyDescent="0.25">
      <c r="A10" s="18" t="s">
        <v>129</v>
      </c>
      <c r="B10" s="26"/>
      <c r="C10" s="26"/>
      <c r="D10" s="25"/>
      <c r="E10" s="26"/>
      <c r="F10" s="26"/>
      <c r="G10" s="96"/>
      <c r="H10" s="25"/>
      <c r="I10" s="33"/>
      <c r="J10" s="41" t="e">
        <f>J9/Y9</f>
        <v>#REF!</v>
      </c>
      <c r="K10" s="32"/>
      <c r="L10" s="25"/>
      <c r="M10" s="25"/>
      <c r="N10" s="25"/>
      <c r="O10" s="37"/>
      <c r="P10" s="42" t="e">
        <f>P9/Y9</f>
        <v>#REF!</v>
      </c>
      <c r="Q10" s="45" t="e">
        <f>Q9/Y9</f>
        <v>#REF!</v>
      </c>
      <c r="R10" s="44" t="e">
        <f>+R9/Y9</f>
        <v>#REF!</v>
      </c>
      <c r="S10" s="313"/>
      <c r="T10" s="313"/>
      <c r="U10" s="313"/>
      <c r="V10" s="314"/>
      <c r="W10" s="58" t="e">
        <f>+W9/Y9</f>
        <v>#REF!</v>
      </c>
      <c r="X10" s="58" t="e">
        <f t="shared" si="0"/>
        <v>#REF!</v>
      </c>
      <c r="Y10" s="31">
        <v>1</v>
      </c>
      <c r="Z10" s="72"/>
    </row>
    <row r="11" spans="1:27" x14ac:dyDescent="0.25">
      <c r="A11" s="2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312"/>
      <c r="T11" s="312"/>
      <c r="U11" s="312"/>
      <c r="V11" s="312"/>
      <c r="W11" s="101"/>
      <c r="X11" s="101"/>
      <c r="Y11" s="38"/>
      <c r="Z11" s="72"/>
    </row>
    <row r="12" spans="1:27" x14ac:dyDescent="0.25">
      <c r="A12" s="19" t="s">
        <v>107</v>
      </c>
      <c r="B12" s="26">
        <f>'Pays Secteur 2017'!D19</f>
        <v>235938</v>
      </c>
      <c r="C12" s="26">
        <f>'Pays Secteur 2017'!D20</f>
        <v>21021</v>
      </c>
      <c r="D12" s="25"/>
      <c r="E12" s="26"/>
      <c r="F12" s="26"/>
      <c r="G12" s="96"/>
      <c r="H12" s="25">
        <f>'Pays Secteur 2017'!D30</f>
        <v>25781</v>
      </c>
      <c r="I12" s="33"/>
      <c r="J12" s="47">
        <f t="shared" ref="J12:J14" si="1">SUM(B12:I12)</f>
        <v>282740</v>
      </c>
      <c r="K12" s="32">
        <f>'Pays Secteur 2017'!D26</f>
        <v>139944</v>
      </c>
      <c r="L12" s="25">
        <f>'Pays Secteur 2017'!D24</f>
        <v>62029</v>
      </c>
      <c r="M12" s="25">
        <f>'Pays Secteur 2017'!D25</f>
        <v>20618</v>
      </c>
      <c r="N12" s="25">
        <f>'Pays Secteur 2017'!D23</f>
        <v>26469</v>
      </c>
      <c r="O12" s="37">
        <f>'Pays Secteur 2017'!D22</f>
        <v>299</v>
      </c>
      <c r="P12" s="48">
        <f t="shared" ref="P12:P16" si="2">SUM(K12:O12)</f>
        <v>249359</v>
      </c>
      <c r="Q12" s="61">
        <f>'Pays Secteur 2017'!D21</f>
        <v>142116</v>
      </c>
      <c r="R12" s="40">
        <f>'Pays Secteur 2017'!D18</f>
        <v>6804</v>
      </c>
      <c r="S12" s="313"/>
      <c r="T12" s="313"/>
      <c r="U12" s="313"/>
      <c r="V12" s="314"/>
      <c r="W12" s="64">
        <f>'Pays Secteur 2017'!D37-'Contribution 2017'!Q12-'Contribution 2017'!P12-'Contribution 2017'!J12-R12</f>
        <v>16653</v>
      </c>
      <c r="X12" s="65">
        <f t="shared" si="0"/>
        <v>697672</v>
      </c>
      <c r="Y12" s="66"/>
      <c r="Z12" s="71"/>
    </row>
    <row r="13" spans="1:27" x14ac:dyDescent="0.25">
      <c r="A13" s="19" t="s">
        <v>98</v>
      </c>
      <c r="B13" s="26">
        <f>'Pays Secteur 2017'!E19</f>
        <v>20622</v>
      </c>
      <c r="C13" s="26">
        <f>'Pays Secteur 2017'!E20</f>
        <v>5921</v>
      </c>
      <c r="D13" s="25"/>
      <c r="E13" s="26"/>
      <c r="F13" s="26"/>
      <c r="G13" s="96"/>
      <c r="H13" s="25">
        <f>'Pays Secteur 2017'!E30+'Pays Secteur 2017'!E33+'Pays Secteur 2017'!E32</f>
        <v>72109</v>
      </c>
      <c r="I13" s="33"/>
      <c r="J13" s="47">
        <f t="shared" si="1"/>
        <v>98652</v>
      </c>
      <c r="K13" s="32">
        <f>'Pays Secteur 2017'!E26</f>
        <v>16177</v>
      </c>
      <c r="L13" s="25">
        <f>'Pays Secteur 2017'!E24</f>
        <v>3270</v>
      </c>
      <c r="M13" s="25">
        <f>'Pays Secteur 2017'!E25</f>
        <v>456</v>
      </c>
      <c r="N13" s="25">
        <f>'Pays Secteur 2017'!E23</f>
        <v>563</v>
      </c>
      <c r="O13" s="37">
        <f>'Pays Secteur 2017'!E22</f>
        <v>0</v>
      </c>
      <c r="P13" s="48">
        <f t="shared" si="2"/>
        <v>20466</v>
      </c>
      <c r="Q13" s="61">
        <f>'Pays Secteur 2017'!E21</f>
        <v>12506</v>
      </c>
      <c r="R13" s="40">
        <v>0</v>
      </c>
      <c r="S13" s="313"/>
      <c r="T13" s="313"/>
      <c r="U13" s="313"/>
      <c r="V13" s="314"/>
      <c r="W13" s="64">
        <f>'Pays Secteur 2017'!E37-'Contribution 2017'!Q13-'Contribution 2017'!P13-'Contribution 2017'!J13</f>
        <v>811</v>
      </c>
      <c r="X13" s="65">
        <f t="shared" si="0"/>
        <v>132435</v>
      </c>
      <c r="Y13" s="66"/>
      <c r="Z13" s="71"/>
    </row>
    <row r="14" spans="1:27" x14ac:dyDescent="0.25">
      <c r="A14" s="19" t="s">
        <v>99</v>
      </c>
      <c r="B14" s="26">
        <f>'Pays Secteur 2017'!F19</f>
        <v>3480</v>
      </c>
      <c r="C14" s="26">
        <f>'Pays Secteur 2017'!F20</f>
        <v>2361</v>
      </c>
      <c r="D14" s="25"/>
      <c r="E14" s="26"/>
      <c r="F14" s="26"/>
      <c r="G14" s="96"/>
      <c r="H14" s="25">
        <f>'Pays Secteur 2017'!F30+'Pays Secteur 2017'!F33</f>
        <v>479</v>
      </c>
      <c r="I14" s="33"/>
      <c r="J14" s="47">
        <f t="shared" si="1"/>
        <v>6320</v>
      </c>
      <c r="K14" s="32">
        <f>'Pays Secteur 2017'!F26</f>
        <v>6804</v>
      </c>
      <c r="L14" s="25">
        <f>'Pays Secteur 2017'!F24</f>
        <v>1092</v>
      </c>
      <c r="M14" s="25">
        <f>'Pays Secteur 2017'!F25</f>
        <v>913</v>
      </c>
      <c r="N14" s="25">
        <f>'Pays Secteur 2017'!F23</f>
        <v>197</v>
      </c>
      <c r="O14" s="37">
        <f>'Pays Secteur 2017'!F22</f>
        <v>0</v>
      </c>
      <c r="P14" s="48">
        <f t="shared" si="2"/>
        <v>9006</v>
      </c>
      <c r="Q14" s="61">
        <f>'Pays Secteur 2017'!F21</f>
        <v>22309</v>
      </c>
      <c r="R14" s="40">
        <f>'Pays Secteur 2017'!F18</f>
        <v>0</v>
      </c>
      <c r="S14" s="313"/>
      <c r="T14" s="313"/>
      <c r="U14" s="313"/>
      <c r="V14" s="314"/>
      <c r="W14" s="64">
        <f>-J14-P14-Q14-R14+'Pays Secteur 2017'!F37</f>
        <v>91</v>
      </c>
      <c r="X14" s="65">
        <f t="shared" si="0"/>
        <v>37726</v>
      </c>
      <c r="Y14" s="66"/>
      <c r="Z14" s="71"/>
    </row>
    <row r="15" spans="1:27" x14ac:dyDescent="0.25">
      <c r="A15" s="19" t="s">
        <v>100</v>
      </c>
      <c r="B15" s="26">
        <f>'Pays Secteur 2017'!G19</f>
        <v>5504</v>
      </c>
      <c r="C15" s="26">
        <f>'Pays Secteur 2017'!G20</f>
        <v>8079</v>
      </c>
      <c r="D15" s="25"/>
      <c r="E15" s="26"/>
      <c r="F15" s="26"/>
      <c r="G15" s="96"/>
      <c r="H15" s="25">
        <f>'Pays Secteur 2017'!G30</f>
        <v>0</v>
      </c>
      <c r="I15" s="33"/>
      <c r="J15" s="47">
        <f t="shared" ref="J15:J16" si="3">SUM(B15:I15)</f>
        <v>13583</v>
      </c>
      <c r="K15" s="32">
        <f>'Pays Secteur 2017'!G26</f>
        <v>1279</v>
      </c>
      <c r="L15" s="25">
        <f>'Pays Secteur 2017'!G24</f>
        <v>18</v>
      </c>
      <c r="M15" s="25">
        <f>'Pays Secteur 2017'!G25</f>
        <v>0</v>
      </c>
      <c r="N15" s="25">
        <f>'Pays Secteur 2017'!G23</f>
        <v>394</v>
      </c>
      <c r="O15" s="37">
        <f>'Pays Secteur 2017'!G22</f>
        <v>12977</v>
      </c>
      <c r="P15" s="48">
        <f t="shared" si="2"/>
        <v>14668</v>
      </c>
      <c r="Q15" s="61">
        <f>'Pays Secteur 2017'!G21</f>
        <v>1141</v>
      </c>
      <c r="R15" s="40">
        <f>'Pays Secteur 2017'!G18</f>
        <v>309</v>
      </c>
      <c r="S15" s="313"/>
      <c r="T15" s="313"/>
      <c r="U15" s="313"/>
      <c r="V15" s="314"/>
      <c r="W15" s="64">
        <f>-R15-Q15-P15-J15+'Pays Secteur 2017'!G37</f>
        <v>2193</v>
      </c>
      <c r="X15" s="65">
        <f t="shared" si="0"/>
        <v>31894</v>
      </c>
      <c r="Y15" s="66"/>
      <c r="Z15" s="71"/>
    </row>
    <row r="16" spans="1:27" x14ac:dyDescent="0.25">
      <c r="A16" s="68" t="s">
        <v>101</v>
      </c>
      <c r="B16" s="26">
        <f>'Pays Secteur 2017'!H19</f>
        <v>3267</v>
      </c>
      <c r="C16" s="26">
        <f>'Pays Secteur 2017'!H20</f>
        <v>4464</v>
      </c>
      <c r="D16" s="25"/>
      <c r="E16" s="26"/>
      <c r="F16" s="26"/>
      <c r="G16" s="96"/>
      <c r="H16" s="25">
        <f>'Pays Secteur 2017'!H30</f>
        <v>86</v>
      </c>
      <c r="I16" s="33"/>
      <c r="J16" s="47">
        <f t="shared" si="3"/>
        <v>7817</v>
      </c>
      <c r="K16" s="32">
        <f>'Pays Secteur 2017'!H26</f>
        <v>4709</v>
      </c>
      <c r="L16" s="25">
        <f>'Pays Secteur 2017'!H24</f>
        <v>4863</v>
      </c>
      <c r="M16" s="25">
        <f>'Pays Secteur 2017'!H25</f>
        <v>7928</v>
      </c>
      <c r="N16" s="25">
        <f>'Pays Secteur 2017'!H23</f>
        <v>2213</v>
      </c>
      <c r="O16" s="37">
        <f>'Pays Secteur 2017'!H22</f>
        <v>7535</v>
      </c>
      <c r="P16" s="48">
        <f t="shared" si="2"/>
        <v>27248</v>
      </c>
      <c r="Q16" s="61">
        <f>'Pays Secteur 2017'!H21</f>
        <v>2211</v>
      </c>
      <c r="R16" s="40">
        <f>'Pays Secteur 2017'!H18</f>
        <v>1133</v>
      </c>
      <c r="S16" s="313"/>
      <c r="T16" s="313"/>
      <c r="U16" s="313"/>
      <c r="V16" s="314"/>
      <c r="W16" s="64">
        <f>-R16-Q16-P16-J16+'Pays Secteur 2017'!H37</f>
        <v>1650</v>
      </c>
      <c r="X16" s="65">
        <f t="shared" si="0"/>
        <v>40059</v>
      </c>
      <c r="Y16" s="66"/>
      <c r="Z16" s="71"/>
    </row>
    <row r="17" spans="1:32" x14ac:dyDescent="0.25">
      <c r="A17" s="69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312"/>
      <c r="T17" s="312"/>
      <c r="U17" s="312"/>
      <c r="V17" s="312"/>
      <c r="W17" s="101"/>
      <c r="X17" s="101"/>
      <c r="Y17" s="38"/>
      <c r="Z17" s="72"/>
    </row>
    <row r="18" spans="1:32" x14ac:dyDescent="0.25">
      <c r="A18" s="70" t="s">
        <v>102</v>
      </c>
      <c r="B18" s="26">
        <f>'Pays Secteur 2017'!I19</f>
        <v>15576</v>
      </c>
      <c r="C18" s="26">
        <f>'Pays Secteur 2017'!I20</f>
        <v>1670</v>
      </c>
      <c r="D18" s="25"/>
      <c r="E18" s="26"/>
      <c r="F18" s="26"/>
      <c r="G18" s="96"/>
      <c r="H18" s="25">
        <f>'Pays Secteur 2017'!I30</f>
        <v>0</v>
      </c>
      <c r="I18" s="33"/>
      <c r="J18" s="47">
        <f t="shared" ref="J18:J19" si="4">SUM(B18:I18)</f>
        <v>17246</v>
      </c>
      <c r="K18" s="32">
        <f>'Pays Secteur 2017'!I26</f>
        <v>25218</v>
      </c>
      <c r="L18" s="25">
        <f>'Pays Secteur 2017'!I24</f>
        <v>14533</v>
      </c>
      <c r="M18" s="25">
        <f>'Pays Secteur 2017'!I25</f>
        <v>409</v>
      </c>
      <c r="N18" s="25">
        <f>'Pays Secteur 2017'!I23</f>
        <v>0</v>
      </c>
      <c r="O18" s="37">
        <f>'Pays Secteur 2017'!I22</f>
        <v>1453</v>
      </c>
      <c r="P18" s="48">
        <f>SUM(K18:O18)</f>
        <v>41613</v>
      </c>
      <c r="Q18" s="61">
        <f>'Pays Secteur 2017'!I21</f>
        <v>13890</v>
      </c>
      <c r="R18" s="40">
        <f>'Pays Secteur 2017'!I18</f>
        <v>18145</v>
      </c>
      <c r="S18" s="313"/>
      <c r="T18" s="313"/>
      <c r="U18" s="313"/>
      <c r="V18" s="314"/>
      <c r="W18" s="64">
        <f>-R18-Q18-P18-J18+'Pays Secteur 2017'!I37</f>
        <v>6585</v>
      </c>
      <c r="X18" s="65">
        <f t="shared" si="0"/>
        <v>97479</v>
      </c>
      <c r="Y18" s="66"/>
      <c r="Z18" s="71"/>
    </row>
    <row r="19" spans="1:32" x14ac:dyDescent="0.25">
      <c r="A19" s="19" t="s">
        <v>35</v>
      </c>
      <c r="B19" s="26">
        <f>'Pays Secteur 2017'!J19</f>
        <v>40</v>
      </c>
      <c r="C19" s="26">
        <f>'Pays Secteur 2017'!J20</f>
        <v>7362</v>
      </c>
      <c r="D19" s="25"/>
      <c r="E19" s="26"/>
      <c r="F19" s="26"/>
      <c r="G19" s="96"/>
      <c r="H19" s="25">
        <f>'Pays Secteur 2017'!J30</f>
        <v>0</v>
      </c>
      <c r="I19" s="33"/>
      <c r="J19" s="47">
        <f t="shared" si="4"/>
        <v>7402</v>
      </c>
      <c r="K19" s="32">
        <f>'Pays Secteur 2017'!J26</f>
        <v>17075</v>
      </c>
      <c r="L19" s="25">
        <f>'Pays Secteur 2017'!J24</f>
        <v>0</v>
      </c>
      <c r="M19" s="25">
        <f>'Pays Secteur 2017'!J25</f>
        <v>0</v>
      </c>
      <c r="N19" s="25">
        <f>'Pays Secteur 2017'!J23</f>
        <v>1430</v>
      </c>
      <c r="O19" s="37">
        <f>'Pays Secteur 2017'!J22</f>
        <v>296</v>
      </c>
      <c r="P19" s="48">
        <f t="shared" ref="P19" si="5">SUM(K19:O19)</f>
        <v>18801</v>
      </c>
      <c r="Q19" s="61">
        <f>'Pays Secteur 2017'!J21</f>
        <v>12178</v>
      </c>
      <c r="R19" s="40">
        <f>'Pays Secteur 2017'!J18</f>
        <v>11844</v>
      </c>
      <c r="S19" s="313"/>
      <c r="T19" s="313"/>
      <c r="U19" s="313"/>
      <c r="V19" s="314"/>
      <c r="W19" s="64">
        <f>-R19-Q19-P19+'Pays Secteur 2017'!J37</f>
        <v>7408</v>
      </c>
      <c r="X19" s="65">
        <f>+R19+Q19+P19+J19+W19</f>
        <v>57633</v>
      </c>
      <c r="Y19" s="66"/>
      <c r="Z19" s="71"/>
    </row>
    <row r="20" spans="1:32" x14ac:dyDescent="0.25">
      <c r="A20" s="68" t="s">
        <v>103</v>
      </c>
      <c r="B20" s="26">
        <f>B18+B19-B16</f>
        <v>12349</v>
      </c>
      <c r="C20" s="25">
        <f>C18+C19-C16</f>
        <v>4568</v>
      </c>
      <c r="D20" s="25"/>
      <c r="E20" s="25"/>
      <c r="F20" s="25"/>
      <c r="G20" s="25"/>
      <c r="H20" s="25">
        <f>H18+H19-H16</f>
        <v>-86</v>
      </c>
      <c r="I20" s="34">
        <f t="shared" ref="I20:P20" si="6">+I18+I19-I16</f>
        <v>0</v>
      </c>
      <c r="J20" s="47">
        <f>+J18+J19-J16</f>
        <v>16831</v>
      </c>
      <c r="K20" s="32">
        <f>K18+K19-K16</f>
        <v>37584</v>
      </c>
      <c r="L20" s="25">
        <f>L18+L19-L16</f>
        <v>9670</v>
      </c>
      <c r="M20" s="25">
        <f t="shared" ref="M20:N20" si="7">M18+M19-M16</f>
        <v>-7519</v>
      </c>
      <c r="N20" s="25">
        <f t="shared" si="7"/>
        <v>-783</v>
      </c>
      <c r="O20" s="37">
        <f>O18+O19-O16</f>
        <v>-5786</v>
      </c>
      <c r="P20" s="48">
        <f t="shared" si="6"/>
        <v>33166</v>
      </c>
      <c r="Q20" s="61">
        <f>Q18+Q19-Q16</f>
        <v>23857</v>
      </c>
      <c r="R20" s="40">
        <f>R18+R19-R16</f>
        <v>28856</v>
      </c>
      <c r="S20" s="313"/>
      <c r="T20" s="313"/>
      <c r="U20" s="313"/>
      <c r="V20" s="314"/>
      <c r="W20" s="64">
        <f>W19+W18-W16</f>
        <v>12343</v>
      </c>
      <c r="X20" s="65">
        <f>+X19+X18-X16</f>
        <v>115053</v>
      </c>
      <c r="Y20" s="66"/>
      <c r="Z20" s="72"/>
    </row>
    <row r="21" spans="1:32" ht="15.75" thickBot="1" x14ac:dyDescent="0.3">
      <c r="A21" s="2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315"/>
      <c r="T21" s="315"/>
      <c r="U21" s="315"/>
      <c r="V21" s="315"/>
      <c r="W21" s="102"/>
      <c r="X21" s="102"/>
      <c r="Y21" s="39"/>
    </row>
    <row r="22" spans="1:32" x14ac:dyDescent="0.25">
      <c r="A22" s="17"/>
      <c r="U22" s="46"/>
    </row>
    <row r="26" spans="1:32" ht="15" customHeight="1" x14ac:dyDescent="0.25">
      <c r="U26" s="73"/>
    </row>
    <row r="27" spans="1:32" x14ac:dyDescent="0.25">
      <c r="U27" s="73"/>
    </row>
    <row r="28" spans="1:32" ht="15.75" thickBot="1" x14ac:dyDescent="0.3">
      <c r="U28" s="73"/>
    </row>
    <row r="29" spans="1:32" ht="15.75" thickBot="1" x14ac:dyDescent="0.3">
      <c r="U29" s="73"/>
      <c r="AA29" s="333"/>
      <c r="AB29" s="334"/>
      <c r="AC29" s="113" t="s">
        <v>152</v>
      </c>
      <c r="AD29" s="114" t="s">
        <v>148</v>
      </c>
      <c r="AE29" s="114" t="s">
        <v>150</v>
      </c>
      <c r="AF29" s="115" t="s">
        <v>151</v>
      </c>
    </row>
    <row r="30" spans="1:32" x14ac:dyDescent="0.25">
      <c r="U30" s="73"/>
      <c r="AA30" s="305" t="s">
        <v>140</v>
      </c>
      <c r="AB30" s="311" t="s">
        <v>141</v>
      </c>
      <c r="AC30" s="83" t="s">
        <v>108</v>
      </c>
      <c r="AD30" s="103">
        <f>+B7</f>
        <v>7750</v>
      </c>
      <c r="AE30" s="338">
        <f>SUM(AD30:AD38)</f>
        <v>19536</v>
      </c>
      <c r="AF30" s="341">
        <f>+AE30/AD47</f>
        <v>0.65828756275903899</v>
      </c>
    </row>
    <row r="31" spans="1:32" x14ac:dyDescent="0.25">
      <c r="U31" s="73"/>
      <c r="AA31" s="305"/>
      <c r="AB31" s="309"/>
      <c r="AC31" s="76" t="s">
        <v>109</v>
      </c>
      <c r="AD31" s="104">
        <f>+C7</f>
        <v>1913</v>
      </c>
      <c r="AE31" s="339"/>
      <c r="AF31" s="342"/>
    </row>
    <row r="32" spans="1:32" x14ac:dyDescent="0.25">
      <c r="U32" s="73"/>
      <c r="AA32" s="305"/>
      <c r="AB32" s="309"/>
      <c r="AC32" s="76" t="s">
        <v>110</v>
      </c>
      <c r="AD32" s="104">
        <v>0</v>
      </c>
      <c r="AE32" s="339"/>
      <c r="AF32" s="342"/>
    </row>
    <row r="33" spans="4:32" x14ac:dyDescent="0.25">
      <c r="U33" s="73"/>
      <c r="AA33" s="305"/>
      <c r="AB33" s="309"/>
      <c r="AC33" s="76" t="s">
        <v>111</v>
      </c>
      <c r="AD33" s="104">
        <v>-27</v>
      </c>
      <c r="AE33" s="339"/>
      <c r="AF33" s="342"/>
    </row>
    <row r="34" spans="4:32" x14ac:dyDescent="0.25">
      <c r="U34" s="304"/>
      <c r="AA34" s="305"/>
      <c r="AB34" s="309"/>
      <c r="AC34" s="79" t="s">
        <v>116</v>
      </c>
      <c r="AD34" s="104">
        <f>+K7</f>
        <v>9965</v>
      </c>
      <c r="AE34" s="339"/>
      <c r="AF34" s="342"/>
    </row>
    <row r="35" spans="4:32" x14ac:dyDescent="0.25">
      <c r="D35" s="15"/>
      <c r="U35" s="304"/>
      <c r="AA35" s="305"/>
      <c r="AB35" s="309"/>
      <c r="AC35" s="76" t="s">
        <v>33</v>
      </c>
      <c r="AD35" s="104">
        <f>+Q7</f>
        <v>4690</v>
      </c>
      <c r="AE35" s="339"/>
      <c r="AF35" s="342"/>
    </row>
    <row r="36" spans="4:32" x14ac:dyDescent="0.25">
      <c r="D36" s="16"/>
      <c r="U36" s="98"/>
      <c r="AA36" s="305"/>
      <c r="AB36" s="309"/>
      <c r="AC36" s="79" t="s">
        <v>121</v>
      </c>
      <c r="AD36" s="104">
        <f>+R7</f>
        <v>-1652</v>
      </c>
      <c r="AE36" s="339"/>
      <c r="AF36" s="342"/>
    </row>
    <row r="37" spans="4:32" x14ac:dyDescent="0.25">
      <c r="U37" s="75"/>
      <c r="AA37" s="305"/>
      <c r="AB37" s="309"/>
      <c r="AC37" s="79" t="s">
        <v>154</v>
      </c>
      <c r="AD37" s="104">
        <v>-1199</v>
      </c>
      <c r="AE37" s="339"/>
      <c r="AF37" s="342"/>
    </row>
    <row r="38" spans="4:32" ht="15.75" thickBot="1" x14ac:dyDescent="0.3">
      <c r="U38" s="75"/>
      <c r="AA38" s="305"/>
      <c r="AB38" s="99"/>
      <c r="AC38" s="79" t="s">
        <v>147</v>
      </c>
      <c r="AD38" s="104">
        <v>-1904</v>
      </c>
      <c r="AE38" s="340"/>
      <c r="AF38" s="343"/>
    </row>
    <row r="39" spans="4:32" x14ac:dyDescent="0.25">
      <c r="U39" s="75"/>
      <c r="AA39" s="305"/>
      <c r="AB39" s="335" t="s">
        <v>142</v>
      </c>
      <c r="AC39" s="79" t="s">
        <v>112</v>
      </c>
      <c r="AD39" s="104">
        <v>211</v>
      </c>
      <c r="AE39" s="344">
        <f>SUM(AD39:AD41)</f>
        <v>6462</v>
      </c>
      <c r="AF39" s="345">
        <f>AE39/AD47</f>
        <v>0.21774438117060349</v>
      </c>
    </row>
    <row r="40" spans="4:32" x14ac:dyDescent="0.25">
      <c r="U40" s="98"/>
      <c r="AA40" s="305"/>
      <c r="AB40" s="336"/>
      <c r="AC40" s="79" t="s">
        <v>113</v>
      </c>
      <c r="AD40" s="104">
        <v>454</v>
      </c>
      <c r="AE40" s="344"/>
      <c r="AF40" s="345"/>
    </row>
    <row r="41" spans="4:32" ht="15.75" thickBot="1" x14ac:dyDescent="0.3">
      <c r="U41" s="98"/>
      <c r="AA41" s="305"/>
      <c r="AB41" s="337"/>
      <c r="AC41" s="79" t="s">
        <v>117</v>
      </c>
      <c r="AD41" s="104">
        <f>+L7</f>
        <v>5797</v>
      </c>
      <c r="AE41" s="344"/>
      <c r="AF41" s="345"/>
    </row>
    <row r="42" spans="4:32" ht="15.75" thickBot="1" x14ac:dyDescent="0.3">
      <c r="U42" s="98"/>
      <c r="AA42" s="305"/>
      <c r="AB42" s="100" t="s">
        <v>143</v>
      </c>
      <c r="AC42" s="79" t="s">
        <v>153</v>
      </c>
      <c r="AD42" s="104">
        <f>+M7</f>
        <v>7943</v>
      </c>
      <c r="AE42" s="105">
        <f>AD42</f>
        <v>7943</v>
      </c>
      <c r="AF42" s="110">
        <f>+AE42/AD47</f>
        <v>0.26764834720490616</v>
      </c>
    </row>
    <row r="43" spans="4:32" x14ac:dyDescent="0.25">
      <c r="AA43" s="305"/>
      <c r="AB43" s="311" t="s">
        <v>144</v>
      </c>
      <c r="AC43" s="79" t="s">
        <v>119</v>
      </c>
      <c r="AD43" s="104">
        <f>+N7</f>
        <v>2241</v>
      </c>
      <c r="AE43" s="344">
        <f>SUM(AD43:AD44)</f>
        <v>-2579</v>
      </c>
      <c r="AF43" s="345">
        <f>+AE43/AD47</f>
        <v>-8.6902314924015234E-2</v>
      </c>
    </row>
    <row r="44" spans="4:32" ht="15.75" thickBot="1" x14ac:dyDescent="0.3">
      <c r="AA44" s="305"/>
      <c r="AB44" s="310"/>
      <c r="AC44" s="79" t="s">
        <v>114</v>
      </c>
      <c r="AD44" s="104">
        <f>+H7</f>
        <v>-4820</v>
      </c>
      <c r="AE44" s="344"/>
      <c r="AF44" s="345"/>
    </row>
    <row r="45" spans="4:32" ht="15.75" thickBot="1" x14ac:dyDescent="0.3">
      <c r="AA45" s="305"/>
      <c r="AB45" s="100" t="s">
        <v>145</v>
      </c>
      <c r="AC45" s="79" t="s">
        <v>120</v>
      </c>
      <c r="AD45" s="104">
        <f>+O7</f>
        <v>-1317</v>
      </c>
      <c r="AE45" s="105">
        <f>AD45</f>
        <v>-1317</v>
      </c>
      <c r="AF45" s="110">
        <f>+AE45/AD47</f>
        <v>-4.4377800990666169E-2</v>
      </c>
    </row>
    <row r="46" spans="4:32" ht="15.75" thickBot="1" x14ac:dyDescent="0.3">
      <c r="AA46" s="305"/>
      <c r="AB46" s="99" t="s">
        <v>146</v>
      </c>
      <c r="AC46" s="89" t="s">
        <v>115</v>
      </c>
      <c r="AD46" s="106">
        <v>-368</v>
      </c>
      <c r="AE46" s="107">
        <f>AD46</f>
        <v>-368</v>
      </c>
      <c r="AF46" s="111">
        <f>+AE46/AD47</f>
        <v>-1.2400175219867237E-2</v>
      </c>
    </row>
    <row r="47" spans="4:32" ht="15.75" thickBot="1" x14ac:dyDescent="0.3">
      <c r="AA47" s="301" t="s">
        <v>149</v>
      </c>
      <c r="AB47" s="302"/>
      <c r="AC47" s="303"/>
      <c r="AD47" s="108">
        <f>SUM(AD30:AD46)</f>
        <v>29677</v>
      </c>
      <c r="AE47" s="109">
        <f>SUM(AE30:AE46)</f>
        <v>29677</v>
      </c>
      <c r="AF47" s="112">
        <f>SUM(AF30:AF46)</f>
        <v>1.0000000000000002</v>
      </c>
    </row>
  </sheetData>
  <mergeCells count="35">
    <mergeCell ref="AA47:AC47"/>
    <mergeCell ref="U34:U35"/>
    <mergeCell ref="AE30:AE38"/>
    <mergeCell ref="AF30:AF38"/>
    <mergeCell ref="AE39:AE41"/>
    <mergeCell ref="AF39:AF41"/>
    <mergeCell ref="AF43:AF44"/>
    <mergeCell ref="AE43:AE44"/>
    <mergeCell ref="AA29:AB29"/>
    <mergeCell ref="AA30:AA46"/>
    <mergeCell ref="AB30:AB37"/>
    <mergeCell ref="AB39:AB41"/>
    <mergeCell ref="S19:V19"/>
    <mergeCell ref="S18:V18"/>
    <mergeCell ref="S20:V20"/>
    <mergeCell ref="S21:V21"/>
    <mergeCell ref="AB43:AB44"/>
    <mergeCell ref="A4:A5"/>
    <mergeCell ref="B4:J4"/>
    <mergeCell ref="K4:P4"/>
    <mergeCell ref="S4:W4"/>
    <mergeCell ref="X4:X5"/>
    <mergeCell ref="Y4:Y5"/>
    <mergeCell ref="S16:V16"/>
    <mergeCell ref="S17:V17"/>
    <mergeCell ref="S6:V6"/>
    <mergeCell ref="S7:V7"/>
    <mergeCell ref="S8:V8"/>
    <mergeCell ref="S9:V9"/>
    <mergeCell ref="S15:V15"/>
    <mergeCell ref="S10:V10"/>
    <mergeCell ref="S11:V11"/>
    <mergeCell ref="S12:V12"/>
    <mergeCell ref="S13:V13"/>
    <mergeCell ref="S14:V14"/>
  </mergeCells>
  <pageMargins left="0.7" right="0.7" top="0.75" bottom="0.75" header="0.3" footer="0.3"/>
  <ignoredErrors>
    <ignoredError sqref="W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7"/>
  <sheetViews>
    <sheetView workbookViewId="0">
      <selection activeCell="K10" sqref="K10"/>
    </sheetView>
  </sheetViews>
  <sheetFormatPr baseColWidth="10" defaultColWidth="8.85546875" defaultRowHeight="15" x14ac:dyDescent="0.25"/>
  <cols>
    <col min="1" max="1" width="3.42578125" customWidth="1"/>
    <col min="2" max="2" width="11.28515625" customWidth="1"/>
    <col min="3" max="7" width="14.42578125" customWidth="1"/>
    <col min="8" max="8" width="13.42578125" customWidth="1"/>
  </cols>
  <sheetData>
    <row r="1" spans="1:9" s="1" customFormat="1" ht="4.3499999999999996" customHeight="1" thickBot="1" x14ac:dyDescent="0.3">
      <c r="A1" s="213"/>
      <c r="B1" s="213"/>
      <c r="C1" s="213"/>
      <c r="D1" s="213"/>
      <c r="E1" s="213"/>
      <c r="F1" s="213"/>
      <c r="G1" s="213"/>
      <c r="H1" s="213"/>
    </row>
    <row r="2" spans="1:9" ht="23.45" customHeight="1" thickBot="1" x14ac:dyDescent="0.3">
      <c r="A2" s="128"/>
      <c r="B2" s="129"/>
      <c r="C2" s="346" t="s">
        <v>155</v>
      </c>
      <c r="D2" s="347"/>
      <c r="E2" s="347"/>
      <c r="F2" s="347"/>
      <c r="G2" s="348"/>
      <c r="H2" s="349" t="s">
        <v>160</v>
      </c>
    </row>
    <row r="3" spans="1:9" ht="15.75" thickBot="1" x14ac:dyDescent="0.3">
      <c r="A3" s="130"/>
      <c r="B3" s="131"/>
      <c r="C3" s="117" t="s">
        <v>156</v>
      </c>
      <c r="D3" s="118" t="s">
        <v>46</v>
      </c>
      <c r="E3" s="119" t="s">
        <v>157</v>
      </c>
      <c r="F3" s="118" t="s">
        <v>158</v>
      </c>
      <c r="G3" s="119" t="s">
        <v>147</v>
      </c>
      <c r="H3" s="350"/>
    </row>
    <row r="4" spans="1:9" x14ac:dyDescent="0.25">
      <c r="A4" s="351" t="s">
        <v>140</v>
      </c>
      <c r="B4" s="354" t="s">
        <v>141</v>
      </c>
      <c r="C4" s="124" t="s">
        <v>108</v>
      </c>
      <c r="D4" s="357" t="s">
        <v>116</v>
      </c>
      <c r="E4" s="360" t="s">
        <v>33</v>
      </c>
      <c r="F4" s="357" t="s">
        <v>121</v>
      </c>
      <c r="G4" s="124" t="s">
        <v>122</v>
      </c>
      <c r="H4" s="363">
        <f>I7/I14</f>
        <v>0.65821556377752166</v>
      </c>
    </row>
    <row r="5" spans="1:9" x14ac:dyDescent="0.25">
      <c r="A5" s="352"/>
      <c r="B5" s="355"/>
      <c r="C5" s="124" t="s">
        <v>109</v>
      </c>
      <c r="D5" s="358"/>
      <c r="E5" s="361"/>
      <c r="F5" s="358"/>
      <c r="G5" s="124" t="s">
        <v>123</v>
      </c>
      <c r="H5" s="364"/>
    </row>
    <row r="6" spans="1:9" x14ac:dyDescent="0.25">
      <c r="A6" s="352"/>
      <c r="B6" s="355"/>
      <c r="C6" s="124" t="s">
        <v>110</v>
      </c>
      <c r="D6" s="358"/>
      <c r="E6" s="361"/>
      <c r="F6" s="358"/>
      <c r="G6" s="124" t="s">
        <v>124</v>
      </c>
      <c r="H6" s="364"/>
    </row>
    <row r="7" spans="1:9" ht="15.75" thickBot="1" x14ac:dyDescent="0.3">
      <c r="A7" s="352"/>
      <c r="B7" s="356"/>
      <c r="C7" s="125" t="s">
        <v>111</v>
      </c>
      <c r="D7" s="359"/>
      <c r="E7" s="362"/>
      <c r="F7" s="359"/>
      <c r="G7" s="125" t="s">
        <v>125</v>
      </c>
      <c r="H7" s="365"/>
      <c r="I7" s="132">
        <f>M18+M19+M20+M21+M26+M27+M29+M31+M34+M35+M36</f>
        <v>19533.599999999999</v>
      </c>
    </row>
    <row r="8" spans="1:9" x14ac:dyDescent="0.25">
      <c r="A8" s="352"/>
      <c r="B8" s="354" t="s">
        <v>142</v>
      </c>
      <c r="C8" s="126" t="s">
        <v>112</v>
      </c>
      <c r="D8" s="357" t="s">
        <v>117</v>
      </c>
      <c r="E8" s="360"/>
      <c r="F8" s="370"/>
      <c r="G8" s="372"/>
      <c r="H8" s="363">
        <f>I9/I14</f>
        <v>0.21778775196619557</v>
      </c>
    </row>
    <row r="9" spans="1:9" ht="15.75" thickBot="1" x14ac:dyDescent="0.3">
      <c r="A9" s="352"/>
      <c r="B9" s="356"/>
      <c r="C9" s="127" t="s">
        <v>113</v>
      </c>
      <c r="D9" s="359"/>
      <c r="E9" s="362"/>
      <c r="F9" s="371"/>
      <c r="G9" s="373"/>
      <c r="H9" s="365"/>
      <c r="I9" s="132">
        <f>M24+M28+M33</f>
        <v>6463.1999999999989</v>
      </c>
    </row>
    <row r="10" spans="1:9" ht="15.75" thickBot="1" x14ac:dyDescent="0.3">
      <c r="A10" s="352"/>
      <c r="B10" s="122" t="s">
        <v>143</v>
      </c>
      <c r="C10" s="116"/>
      <c r="D10" s="121" t="s">
        <v>153</v>
      </c>
      <c r="E10" s="120"/>
      <c r="F10" s="116"/>
      <c r="G10" s="123"/>
      <c r="H10" s="144">
        <f>I10/I14</f>
        <v>0.26766543337174742</v>
      </c>
      <c r="I10" s="132">
        <f>M25</f>
        <v>7943.4</v>
      </c>
    </row>
    <row r="11" spans="1:9" ht="15.75" thickBot="1" x14ac:dyDescent="0.3">
      <c r="A11" s="352"/>
      <c r="B11" s="122" t="s">
        <v>144</v>
      </c>
      <c r="C11" s="121" t="s">
        <v>114</v>
      </c>
      <c r="D11" s="121" t="s">
        <v>119</v>
      </c>
      <c r="E11" s="120"/>
      <c r="F11" s="116"/>
      <c r="G11" s="123"/>
      <c r="H11" s="144">
        <f>I11/I14</f>
        <v>-8.6890007615427645E-2</v>
      </c>
      <c r="I11" s="132">
        <f>M23+M30</f>
        <v>-2578.6</v>
      </c>
    </row>
    <row r="12" spans="1:9" ht="15.75" thickBot="1" x14ac:dyDescent="0.3">
      <c r="A12" s="352"/>
      <c r="B12" s="122" t="s">
        <v>145</v>
      </c>
      <c r="C12" s="116"/>
      <c r="D12" s="121" t="s">
        <v>120</v>
      </c>
      <c r="E12" s="120"/>
      <c r="F12" s="116"/>
      <c r="G12" s="123"/>
      <c r="H12" s="144">
        <f>I12/I14</f>
        <v>-4.4378399142758942E-2</v>
      </c>
      <c r="I12" s="132">
        <f>M22</f>
        <v>-1317</v>
      </c>
    </row>
    <row r="13" spans="1:9" ht="15.75" thickBot="1" x14ac:dyDescent="0.3">
      <c r="A13" s="353"/>
      <c r="B13" s="122" t="s">
        <v>146</v>
      </c>
      <c r="C13" s="121" t="s">
        <v>115</v>
      </c>
      <c r="D13" s="121"/>
      <c r="E13" s="120"/>
      <c r="F13" s="121"/>
      <c r="G13" s="123"/>
      <c r="H13" s="144">
        <f>I13/I14</f>
        <v>-1.2400342357278125E-2</v>
      </c>
      <c r="I13" s="132">
        <f>M32</f>
        <v>-368</v>
      </c>
    </row>
    <row r="14" spans="1:9" x14ac:dyDescent="0.25">
      <c r="A14" s="366" t="s">
        <v>159</v>
      </c>
      <c r="B14" s="367"/>
      <c r="C14" s="363">
        <f>C16/$H$16</f>
        <v>0.17233106218367331</v>
      </c>
      <c r="D14" s="363">
        <f t="shared" ref="D14:H14" si="0">D16/$H$16</f>
        <v>0.82996704474232219</v>
      </c>
      <c r="E14" s="363">
        <f t="shared" si="0"/>
        <v>9.02866231306821E-2</v>
      </c>
      <c r="F14" s="363">
        <f t="shared" si="0"/>
        <v>-5.5666754277781151E-2</v>
      </c>
      <c r="G14" s="363">
        <f t="shared" si="0"/>
        <v>-3.6917975778896502E-2</v>
      </c>
      <c r="H14" s="363">
        <f t="shared" si="0"/>
        <v>1</v>
      </c>
      <c r="I14" s="132">
        <f>SUM(I4:I13)</f>
        <v>29676.6</v>
      </c>
    </row>
    <row r="15" spans="1:9" ht="15.75" thickBot="1" x14ac:dyDescent="0.3">
      <c r="A15" s="368" t="s">
        <v>161</v>
      </c>
      <c r="B15" s="369"/>
      <c r="C15" s="365"/>
      <c r="D15" s="365"/>
      <c r="E15" s="365"/>
      <c r="F15" s="365"/>
      <c r="G15" s="365"/>
      <c r="H15" s="365"/>
    </row>
    <row r="16" spans="1:9" x14ac:dyDescent="0.25">
      <c r="C16" s="143">
        <f>C19+C20+C29+C30+C31+C32+C33+C28</f>
        <v>5114.1999999999989</v>
      </c>
      <c r="D16" s="143">
        <f>SUM(C22:C26)</f>
        <v>24630.6</v>
      </c>
      <c r="E16" s="143">
        <f>C21</f>
        <v>2679.4</v>
      </c>
      <c r="F16" s="143">
        <f>C18</f>
        <v>-1652</v>
      </c>
      <c r="G16" s="143">
        <f>C27+C34+C35+C36</f>
        <v>-1095.5999999999999</v>
      </c>
      <c r="H16" s="143">
        <f>SUM(C16:G16)</f>
        <v>29676.6</v>
      </c>
    </row>
    <row r="17" spans="2:13" x14ac:dyDescent="0.25">
      <c r="C17" t="s">
        <v>165</v>
      </c>
      <c r="D17" t="s">
        <v>166</v>
      </c>
      <c r="E17" t="s">
        <v>167</v>
      </c>
      <c r="F17" t="s">
        <v>168</v>
      </c>
      <c r="G17" t="s">
        <v>169</v>
      </c>
      <c r="H17" t="s">
        <v>170</v>
      </c>
      <c r="I17" t="s">
        <v>172</v>
      </c>
      <c r="J17" t="s">
        <v>171</v>
      </c>
    </row>
    <row r="18" spans="2:13" x14ac:dyDescent="0.25">
      <c r="B18" s="141" t="s">
        <v>162</v>
      </c>
      <c r="C18" s="142">
        <v>-1652</v>
      </c>
      <c r="D18">
        <v>6804</v>
      </c>
      <c r="E18">
        <v>0</v>
      </c>
      <c r="F18">
        <v>0</v>
      </c>
      <c r="G18">
        <v>309</v>
      </c>
      <c r="H18">
        <v>1133</v>
      </c>
      <c r="I18">
        <v>18145</v>
      </c>
      <c r="J18">
        <v>11844</v>
      </c>
      <c r="L18" s="145" t="s">
        <v>162</v>
      </c>
      <c r="M18" s="146">
        <v>-1652</v>
      </c>
    </row>
    <row r="19" spans="2:13" x14ac:dyDescent="0.25">
      <c r="B19" s="133" t="s">
        <v>108</v>
      </c>
      <c r="C19" s="134">
        <v>7750.4</v>
      </c>
      <c r="D19">
        <v>235938</v>
      </c>
      <c r="E19">
        <v>20622</v>
      </c>
      <c r="F19">
        <v>3480</v>
      </c>
      <c r="G19">
        <v>5504</v>
      </c>
      <c r="H19">
        <v>3267</v>
      </c>
      <c r="I19">
        <v>15576</v>
      </c>
      <c r="J19">
        <v>40</v>
      </c>
      <c r="L19" s="145" t="s">
        <v>108</v>
      </c>
      <c r="M19" s="146">
        <v>7750.4</v>
      </c>
    </row>
    <row r="20" spans="2:13" x14ac:dyDescent="0.25">
      <c r="B20" s="133" t="s">
        <v>109</v>
      </c>
      <c r="C20" s="134">
        <v>1913</v>
      </c>
      <c r="D20">
        <v>21021</v>
      </c>
      <c r="E20">
        <v>5921</v>
      </c>
      <c r="F20">
        <v>2361</v>
      </c>
      <c r="G20">
        <v>8079</v>
      </c>
      <c r="H20">
        <v>4464</v>
      </c>
      <c r="I20">
        <v>1670</v>
      </c>
      <c r="J20">
        <v>7362</v>
      </c>
      <c r="L20" s="145" t="s">
        <v>109</v>
      </c>
      <c r="M20" s="146">
        <v>1913</v>
      </c>
    </row>
    <row r="21" spans="2:13" x14ac:dyDescent="0.25">
      <c r="B21" s="139" t="s">
        <v>33</v>
      </c>
      <c r="C21" s="140">
        <v>2679.4</v>
      </c>
      <c r="D21">
        <v>142116</v>
      </c>
      <c r="E21">
        <v>12506</v>
      </c>
      <c r="F21">
        <v>22309</v>
      </c>
      <c r="G21">
        <v>1141</v>
      </c>
      <c r="H21">
        <v>2211</v>
      </c>
      <c r="I21">
        <v>13890</v>
      </c>
      <c r="J21">
        <v>12178</v>
      </c>
      <c r="L21" s="145" t="s">
        <v>33</v>
      </c>
      <c r="M21" s="146">
        <v>2679.4</v>
      </c>
    </row>
    <row r="22" spans="2:13" x14ac:dyDescent="0.25">
      <c r="B22" s="137" t="s">
        <v>120</v>
      </c>
      <c r="C22" s="138">
        <v>-1317</v>
      </c>
      <c r="D22">
        <v>299</v>
      </c>
      <c r="E22">
        <v>0</v>
      </c>
      <c r="F22">
        <v>0</v>
      </c>
      <c r="G22">
        <v>12977</v>
      </c>
      <c r="H22">
        <v>7535</v>
      </c>
      <c r="I22">
        <v>1453</v>
      </c>
      <c r="J22">
        <v>296</v>
      </c>
      <c r="L22" s="145" t="s">
        <v>120</v>
      </c>
      <c r="M22" s="146">
        <v>-1317</v>
      </c>
    </row>
    <row r="23" spans="2:13" x14ac:dyDescent="0.25">
      <c r="B23" s="137" t="s">
        <v>119</v>
      </c>
      <c r="C23" s="138">
        <v>2241.4</v>
      </c>
      <c r="D23">
        <v>26469</v>
      </c>
      <c r="E23">
        <v>563</v>
      </c>
      <c r="F23">
        <v>197</v>
      </c>
      <c r="G23">
        <v>394</v>
      </c>
      <c r="H23">
        <v>2213</v>
      </c>
      <c r="I23">
        <v>0</v>
      </c>
      <c r="J23">
        <v>1430</v>
      </c>
      <c r="L23" s="145" t="s">
        <v>119</v>
      </c>
      <c r="M23" s="146">
        <v>2241.4</v>
      </c>
    </row>
    <row r="24" spans="2:13" x14ac:dyDescent="0.25">
      <c r="B24" s="137" t="s">
        <v>117</v>
      </c>
      <c r="C24" s="138">
        <v>5797.4</v>
      </c>
      <c r="D24">
        <v>62029</v>
      </c>
      <c r="E24">
        <v>3270</v>
      </c>
      <c r="F24">
        <v>1092</v>
      </c>
      <c r="G24">
        <v>18</v>
      </c>
      <c r="H24">
        <v>4863</v>
      </c>
      <c r="I24">
        <v>14533</v>
      </c>
      <c r="J24">
        <v>0</v>
      </c>
      <c r="L24" s="145" t="s">
        <v>117</v>
      </c>
      <c r="M24" s="146">
        <v>5797.4</v>
      </c>
    </row>
    <row r="25" spans="2:13" x14ac:dyDescent="0.25">
      <c r="B25" s="137" t="s">
        <v>153</v>
      </c>
      <c r="C25" s="138">
        <v>7943.4</v>
      </c>
      <c r="D25">
        <v>20618</v>
      </c>
      <c r="E25">
        <v>456</v>
      </c>
      <c r="F25">
        <v>913</v>
      </c>
      <c r="G25">
        <v>0</v>
      </c>
      <c r="H25">
        <v>7928</v>
      </c>
      <c r="I25">
        <v>409</v>
      </c>
      <c r="J25">
        <v>0</v>
      </c>
      <c r="L25" s="145" t="s">
        <v>153</v>
      </c>
      <c r="M25" s="146">
        <v>7943.4</v>
      </c>
    </row>
    <row r="26" spans="2:13" x14ac:dyDescent="0.25">
      <c r="B26" s="137" t="s">
        <v>116</v>
      </c>
      <c r="C26" s="138">
        <v>9965.4</v>
      </c>
      <c r="D26">
        <v>139944</v>
      </c>
      <c r="E26">
        <v>16177</v>
      </c>
      <c r="F26">
        <v>6804</v>
      </c>
      <c r="G26">
        <v>1279</v>
      </c>
      <c r="H26">
        <v>4709</v>
      </c>
      <c r="I26">
        <v>25218</v>
      </c>
      <c r="J26">
        <v>17075</v>
      </c>
      <c r="L26" s="145" t="s">
        <v>116</v>
      </c>
      <c r="M26" s="146">
        <v>9965.4</v>
      </c>
    </row>
    <row r="27" spans="2:13" x14ac:dyDescent="0.25">
      <c r="B27" s="135" t="s">
        <v>122</v>
      </c>
      <c r="C27" s="136">
        <v>-1199</v>
      </c>
      <c r="D27">
        <v>438</v>
      </c>
      <c r="E27">
        <v>257</v>
      </c>
      <c r="F27">
        <v>0</v>
      </c>
      <c r="H27">
        <v>0</v>
      </c>
      <c r="I27">
        <v>0</v>
      </c>
      <c r="J27">
        <v>0</v>
      </c>
      <c r="L27" s="145" t="s">
        <v>122</v>
      </c>
      <c r="M27" s="146">
        <v>-1199</v>
      </c>
    </row>
    <row r="28" spans="2:13" x14ac:dyDescent="0.25">
      <c r="B28" s="133" t="s">
        <v>113</v>
      </c>
      <c r="C28" s="134">
        <v>454.4</v>
      </c>
      <c r="D28">
        <v>2179</v>
      </c>
      <c r="E28">
        <v>0</v>
      </c>
      <c r="F28">
        <v>91</v>
      </c>
      <c r="G28">
        <v>31</v>
      </c>
      <c r="H28">
        <v>90</v>
      </c>
      <c r="I28">
        <v>0</v>
      </c>
      <c r="J28">
        <v>0</v>
      </c>
      <c r="L28" s="145" t="s">
        <v>113</v>
      </c>
      <c r="M28" s="146">
        <v>454.4</v>
      </c>
    </row>
    <row r="29" spans="2:13" x14ac:dyDescent="0.25">
      <c r="B29" s="133" t="s">
        <v>110</v>
      </c>
      <c r="C29" s="134">
        <v>0</v>
      </c>
      <c r="D29">
        <v>1140</v>
      </c>
      <c r="E29">
        <v>478</v>
      </c>
      <c r="F29">
        <v>0</v>
      </c>
      <c r="G29">
        <v>0</v>
      </c>
      <c r="H29">
        <v>0</v>
      </c>
      <c r="I29">
        <v>0</v>
      </c>
      <c r="J29">
        <v>5</v>
      </c>
      <c r="L29" s="145" t="s">
        <v>110</v>
      </c>
      <c r="M29" s="146">
        <v>0</v>
      </c>
    </row>
    <row r="30" spans="2:13" x14ac:dyDescent="0.25">
      <c r="B30" s="133" t="s">
        <v>114</v>
      </c>
      <c r="C30" s="134">
        <v>-4820</v>
      </c>
      <c r="D30">
        <v>25781</v>
      </c>
      <c r="E30">
        <v>4</v>
      </c>
      <c r="F30">
        <v>0</v>
      </c>
      <c r="G30">
        <v>0</v>
      </c>
      <c r="H30">
        <v>86</v>
      </c>
      <c r="I30">
        <v>0</v>
      </c>
      <c r="J30">
        <v>0</v>
      </c>
      <c r="L30" s="145" t="s">
        <v>114</v>
      </c>
      <c r="M30" s="146">
        <v>-4820</v>
      </c>
    </row>
    <row r="31" spans="2:13" x14ac:dyDescent="0.25">
      <c r="B31" s="133" t="s">
        <v>111</v>
      </c>
      <c r="C31" s="134">
        <v>-27</v>
      </c>
      <c r="D31">
        <v>2593</v>
      </c>
      <c r="E31">
        <v>76</v>
      </c>
      <c r="F31">
        <v>0</v>
      </c>
      <c r="G31">
        <v>84</v>
      </c>
      <c r="H31">
        <v>38</v>
      </c>
      <c r="I31">
        <v>0</v>
      </c>
      <c r="J31">
        <v>0</v>
      </c>
      <c r="L31" s="145" t="s">
        <v>111</v>
      </c>
      <c r="M31" s="146">
        <v>-27</v>
      </c>
    </row>
    <row r="32" spans="2:13" x14ac:dyDescent="0.25">
      <c r="B32" s="133" t="s">
        <v>115</v>
      </c>
      <c r="C32" s="134">
        <v>-368</v>
      </c>
      <c r="D32">
        <v>1724</v>
      </c>
      <c r="E32">
        <v>5887</v>
      </c>
      <c r="F32">
        <v>0</v>
      </c>
      <c r="G32">
        <v>122</v>
      </c>
      <c r="H32">
        <v>33</v>
      </c>
      <c r="I32">
        <v>765</v>
      </c>
      <c r="J32">
        <v>1</v>
      </c>
      <c r="L32" s="145" t="s">
        <v>115</v>
      </c>
      <c r="M32" s="146">
        <v>-368</v>
      </c>
    </row>
    <row r="33" spans="2:13" x14ac:dyDescent="0.25">
      <c r="B33" s="133" t="s">
        <v>112</v>
      </c>
      <c r="C33" s="134">
        <v>211.4</v>
      </c>
      <c r="D33">
        <v>8579</v>
      </c>
      <c r="E33">
        <v>66218</v>
      </c>
      <c r="F33">
        <v>479</v>
      </c>
      <c r="G33">
        <v>1956</v>
      </c>
      <c r="H33">
        <v>1489</v>
      </c>
      <c r="I33">
        <v>5820</v>
      </c>
      <c r="J33">
        <v>0</v>
      </c>
      <c r="L33" s="145" t="s">
        <v>112</v>
      </c>
      <c r="M33" s="146">
        <v>211.4</v>
      </c>
    </row>
    <row r="34" spans="2:13" x14ac:dyDescent="0.25">
      <c r="B34" s="135" t="s">
        <v>163</v>
      </c>
      <c r="C34" s="136">
        <v>21.4</v>
      </c>
      <c r="L34" s="145" t="s">
        <v>163</v>
      </c>
      <c r="M34" s="146">
        <v>21.4</v>
      </c>
    </row>
    <row r="35" spans="2:13" x14ac:dyDescent="0.25">
      <c r="B35" s="135" t="s">
        <v>123</v>
      </c>
      <c r="C35" s="136">
        <v>94</v>
      </c>
      <c r="L35" s="145" t="s">
        <v>123</v>
      </c>
      <c r="M35" s="146">
        <v>94</v>
      </c>
    </row>
    <row r="36" spans="2:13" x14ac:dyDescent="0.25">
      <c r="B36" s="135" t="s">
        <v>164</v>
      </c>
      <c r="C36" s="136">
        <v>-12</v>
      </c>
      <c r="L36" s="145" t="s">
        <v>164</v>
      </c>
      <c r="M36" s="146">
        <v>-12</v>
      </c>
    </row>
    <row r="37" spans="2:13" x14ac:dyDescent="0.25">
      <c r="C37" s="132">
        <f t="shared" ref="C37:H37" si="1">SUM(C18:C36)</f>
        <v>29676.600000000006</v>
      </c>
      <c r="D37" s="132">
        <f t="shared" si="1"/>
        <v>697672</v>
      </c>
      <c r="E37" s="132">
        <f t="shared" si="1"/>
        <v>132435</v>
      </c>
      <c r="F37" s="132">
        <f t="shared" si="1"/>
        <v>37726</v>
      </c>
      <c r="G37" s="132">
        <f t="shared" si="1"/>
        <v>31894</v>
      </c>
      <c r="H37" s="132">
        <f t="shared" si="1"/>
        <v>40059</v>
      </c>
      <c r="I37" s="132">
        <f t="shared" ref="I37:J37" si="2">SUM(I18:I36)</f>
        <v>97479</v>
      </c>
      <c r="J37" s="132">
        <f t="shared" si="2"/>
        <v>50231</v>
      </c>
      <c r="M37" s="132">
        <v>29676.600000000006</v>
      </c>
    </row>
  </sheetData>
  <mergeCells count="22">
    <mergeCell ref="G14:G15"/>
    <mergeCell ref="H14:H15"/>
    <mergeCell ref="E8:E9"/>
    <mergeCell ref="F8:F9"/>
    <mergeCell ref="G8:G9"/>
    <mergeCell ref="H8:H9"/>
    <mergeCell ref="F14:F15"/>
    <mergeCell ref="A14:B14"/>
    <mergeCell ref="A15:B15"/>
    <mergeCell ref="C14:C15"/>
    <mergeCell ref="D14:D15"/>
    <mergeCell ref="E14:E15"/>
    <mergeCell ref="C2:G2"/>
    <mergeCell ref="H2:H3"/>
    <mergeCell ref="A4:A13"/>
    <mergeCell ref="B4:B7"/>
    <mergeCell ref="D4:D7"/>
    <mergeCell ref="E4:E7"/>
    <mergeCell ref="F4:F7"/>
    <mergeCell ref="H4:H7"/>
    <mergeCell ref="B8:B9"/>
    <mergeCell ref="D8:D9"/>
  </mergeCells>
  <pageMargins left="0.7" right="0.7" top="0.75" bottom="0.75" header="0.3" footer="0.3"/>
  <ignoredErrors>
    <ignoredError sqref="D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FF"/>
  </sheetPr>
  <dimension ref="A1:AH30"/>
  <sheetViews>
    <sheetView workbookViewId="0">
      <selection activeCell="I21" sqref="I21"/>
    </sheetView>
  </sheetViews>
  <sheetFormatPr baseColWidth="10" defaultColWidth="9.140625" defaultRowHeight="15" x14ac:dyDescent="0.25"/>
  <cols>
    <col min="1" max="3" width="9.140625" style="169"/>
    <col min="4" max="4" width="3.28515625" style="169" customWidth="1"/>
    <col min="5" max="5" width="8.42578125" style="168" customWidth="1"/>
    <col min="6" max="28" width="9.28515625" style="168" customWidth="1"/>
    <col min="29" max="16384" width="9.140625" style="169"/>
  </cols>
  <sheetData>
    <row r="1" spans="1:34" ht="15.75" thickBot="1" x14ac:dyDescent="0.3"/>
    <row r="2" spans="1:34" ht="15" customHeight="1" thickBot="1" x14ac:dyDescent="0.3">
      <c r="A2" s="377" t="s">
        <v>92</v>
      </c>
      <c r="B2" s="378"/>
      <c r="C2" s="378"/>
      <c r="D2" s="379"/>
      <c r="E2" s="374" t="s">
        <v>93</v>
      </c>
      <c r="F2" s="375"/>
      <c r="G2" s="375"/>
      <c r="H2" s="376"/>
      <c r="I2" s="374" t="s">
        <v>94</v>
      </c>
      <c r="J2" s="375"/>
      <c r="K2" s="375"/>
      <c r="L2" s="376"/>
      <c r="M2" s="383" t="s">
        <v>95</v>
      </c>
      <c r="N2" s="384"/>
      <c r="O2" s="384"/>
      <c r="P2" s="385"/>
    </row>
    <row r="3" spans="1:34" ht="15.75" thickBot="1" x14ac:dyDescent="0.3">
      <c r="A3" s="380"/>
      <c r="B3" s="381"/>
      <c r="C3" s="381"/>
      <c r="D3" s="382"/>
      <c r="E3" s="205">
        <v>2014</v>
      </c>
      <c r="F3" s="206">
        <v>2015</v>
      </c>
      <c r="G3" s="206">
        <v>2016</v>
      </c>
      <c r="H3" s="207">
        <v>2017</v>
      </c>
      <c r="I3" s="208">
        <v>2014</v>
      </c>
      <c r="J3" s="206">
        <v>2015</v>
      </c>
      <c r="K3" s="206">
        <v>2016</v>
      </c>
      <c r="L3" s="209">
        <v>2017</v>
      </c>
      <c r="M3" s="205">
        <v>2014</v>
      </c>
      <c r="N3" s="206">
        <v>2015</v>
      </c>
      <c r="O3" s="206">
        <v>2016</v>
      </c>
      <c r="P3" s="207">
        <v>2017</v>
      </c>
      <c r="AD3" s="168" t="s">
        <v>104</v>
      </c>
      <c r="AE3" s="168"/>
      <c r="AF3" s="168"/>
      <c r="AG3" s="168"/>
      <c r="AH3" s="168">
        <f>315631/656630</f>
        <v>0.48068318535552745</v>
      </c>
    </row>
    <row r="4" spans="1:34" x14ac:dyDescent="0.25">
      <c r="A4" s="182" t="s">
        <v>173</v>
      </c>
      <c r="B4" s="183"/>
      <c r="C4" s="183"/>
      <c r="D4" s="183"/>
      <c r="E4" s="184">
        <v>172.10347500000103</v>
      </c>
      <c r="F4" s="185">
        <v>640</v>
      </c>
      <c r="G4" s="185">
        <f>'Contribution 2016'!R9/1000000</f>
        <v>936.34936200000004</v>
      </c>
      <c r="H4" s="186">
        <f>'Contribution 2017'!R9</f>
        <v>1055</v>
      </c>
      <c r="I4" s="187">
        <v>-1925.3327551810139</v>
      </c>
      <c r="J4" s="188">
        <v>3460</v>
      </c>
      <c r="K4" s="188">
        <f>'Contribution 2016'!P9/1000000</f>
        <v>6612.9384771200002</v>
      </c>
      <c r="L4" s="189">
        <f>'Contribution 2017'!P9</f>
        <v>38068</v>
      </c>
      <c r="M4" s="184">
        <v>20596.587993405014</v>
      </c>
      <c r="N4" s="190">
        <v>5798</v>
      </c>
      <c r="O4" s="190">
        <f>'Contribution 2016'!J9/1000000</f>
        <v>11770.151707999999</v>
      </c>
      <c r="P4" s="186">
        <f>'Contribution 2017'!J9</f>
        <v>11167</v>
      </c>
      <c r="AD4" s="168"/>
      <c r="AE4" s="168"/>
      <c r="AF4" s="168"/>
      <c r="AG4" s="168"/>
      <c r="AH4" s="168"/>
    </row>
    <row r="5" spans="1:34" x14ac:dyDescent="0.25">
      <c r="A5" s="149" t="s">
        <v>174</v>
      </c>
      <c r="B5" s="150"/>
      <c r="C5" s="150"/>
      <c r="D5" s="150"/>
      <c r="E5" s="151">
        <v>6.3300526860911206E-3</v>
      </c>
      <c r="F5" s="152">
        <f>F4/N19</f>
        <v>3.5514122412740691E-2</v>
      </c>
      <c r="G5" s="152">
        <f>'Contribution 2016'!R10</f>
        <v>3.7780323988641354E-2</v>
      </c>
      <c r="H5" s="153">
        <f>H4/P19</f>
        <v>1.9086040958101166E-2</v>
      </c>
      <c r="I5" s="172">
        <v>-7.0814710618438831E-2</v>
      </c>
      <c r="J5" s="164">
        <f>J4/N19</f>
        <v>0.19199822429387936</v>
      </c>
      <c r="K5" s="164">
        <f>'Contribution 2016'!P10</f>
        <v>0.26682237241973594</v>
      </c>
      <c r="L5" s="173">
        <f>L4/P19</f>
        <v>0.68868948549099063</v>
      </c>
      <c r="M5" s="151">
        <v>0.75755290328661151</v>
      </c>
      <c r="N5" s="152">
        <f>N4/N19</f>
        <v>0.32173575273292271</v>
      </c>
      <c r="O5" s="152">
        <f>'Contribution 2016'!J10</f>
        <v>0.47490836537110853</v>
      </c>
      <c r="P5" s="153">
        <f>P4/P19</f>
        <v>0.20202257761053621</v>
      </c>
      <c r="AD5" s="168" t="s">
        <v>105</v>
      </c>
      <c r="AE5" s="168"/>
      <c r="AF5" s="168"/>
      <c r="AG5" s="168"/>
      <c r="AH5" s="168">
        <f>2428/62785</f>
        <v>3.867165724297205E-2</v>
      </c>
    </row>
    <row r="6" spans="1:34" s="181" customFormat="1" x14ac:dyDescent="0.25">
      <c r="A6" s="204" t="s">
        <v>34</v>
      </c>
      <c r="B6" s="191"/>
      <c r="C6" s="191"/>
      <c r="D6" s="191"/>
      <c r="E6" s="192">
        <v>-1917.4679297499999</v>
      </c>
      <c r="F6" s="193">
        <v>-2065</v>
      </c>
      <c r="G6" s="193">
        <f>'Contribution 2016'!R7/1000000</f>
        <v>2321.08988</v>
      </c>
      <c r="H6" s="194">
        <f>'Contribution 2017'!R7</f>
        <v>-1652</v>
      </c>
      <c r="I6" s="195">
        <v>-3480.1682062103205</v>
      </c>
      <c r="J6" s="196">
        <f>3391-3642+597+21-358</f>
        <v>9</v>
      </c>
      <c r="K6" s="196">
        <f>+'Contribution 2016'!P7/1000000</f>
        <v>-209.07438209999989</v>
      </c>
      <c r="L6" s="197">
        <f>'Contribution 2017'!P7</f>
        <v>24629</v>
      </c>
      <c r="M6" s="192">
        <v>4644.0662763452656</v>
      </c>
      <c r="N6" s="193">
        <f>-178+480+327-1970+17-357-488</f>
        <v>-2169</v>
      </c>
      <c r="O6" s="193">
        <f>'Contribution 2016'!J7/1000000</f>
        <v>4208.5321869999998</v>
      </c>
      <c r="P6" s="194">
        <f>'Contribution 2017'!J7</f>
        <v>4843</v>
      </c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D6" s="180"/>
      <c r="AE6" s="180"/>
      <c r="AF6" s="180"/>
      <c r="AG6" s="180"/>
      <c r="AH6" s="180"/>
    </row>
    <row r="7" spans="1:34" x14ac:dyDescent="0.25">
      <c r="A7" s="149" t="s">
        <v>175</v>
      </c>
      <c r="B7" s="150"/>
      <c r="C7" s="150"/>
      <c r="D7" s="150"/>
      <c r="E7" s="151">
        <v>-0.32066448751788124</v>
      </c>
      <c r="F7" s="152">
        <f>F6/N21</f>
        <v>-2.8800557880055786</v>
      </c>
      <c r="G7" s="152">
        <f>'Contribution 2016'!R8</f>
        <v>0.2413449284111322</v>
      </c>
      <c r="H7" s="153">
        <f>H6/P21</f>
        <v>-5.5666003976143144E-2</v>
      </c>
      <c r="I7" s="172">
        <v>-0.58200001001631174</v>
      </c>
      <c r="J7" s="164">
        <f>J6/N21</f>
        <v>1.2552301255230125E-2</v>
      </c>
      <c r="K7" s="164">
        <f>'Contribution 2016'!P8</f>
        <v>-2.1739374341042828E-2</v>
      </c>
      <c r="L7" s="173">
        <f>L6/P21</f>
        <v>0.8299019442666038</v>
      </c>
      <c r="M7" s="151">
        <v>0.776642523923459</v>
      </c>
      <c r="N7" s="152">
        <f>N6/N21</f>
        <v>-3.0251046025104604</v>
      </c>
      <c r="O7" s="152">
        <f>'Contribution 2016'!J8</f>
        <v>0.43759955533796935</v>
      </c>
      <c r="P7" s="153">
        <f>P6/P21</f>
        <v>0.16319034942885063</v>
      </c>
      <c r="AD7" s="168" t="s">
        <v>106</v>
      </c>
      <c r="AE7" s="168"/>
      <c r="AF7" s="168"/>
      <c r="AG7" s="168"/>
      <c r="AH7" s="168">
        <f>945/32531</f>
        <v>2.9049214595309091E-2</v>
      </c>
    </row>
    <row r="8" spans="1:34" x14ac:dyDescent="0.25">
      <c r="A8" s="198" t="s">
        <v>107</v>
      </c>
      <c r="B8" s="199"/>
      <c r="C8" s="199"/>
      <c r="D8" s="199"/>
      <c r="E8" s="184">
        <v>2712.05217882542</v>
      </c>
      <c r="F8" s="190">
        <v>4679</v>
      </c>
      <c r="G8" s="190">
        <f>'Contribution 2016'!R12/1000000</f>
        <v>1827.232205</v>
      </c>
      <c r="H8" s="186">
        <f>'Contribution 2017'!R12</f>
        <v>6804</v>
      </c>
      <c r="I8" s="187">
        <v>139739.54303793982</v>
      </c>
      <c r="J8" s="188">
        <f>(279+28182+53022+34928+126363)-((279+28182+53022+34928+126363)*AH3)</f>
        <v>126076.62035849718</v>
      </c>
      <c r="K8" s="188">
        <f>'Contribution 2016'!P12/1000000</f>
        <v>148586.05517499999</v>
      </c>
      <c r="L8" s="189">
        <f>'Contribution 2017'!P12</f>
        <v>249359</v>
      </c>
      <c r="M8" s="184">
        <v>133550.98943012956</v>
      </c>
      <c r="N8" s="190">
        <f>(226347+18485+2489+1243+23934+2388+706+7683)-((226347+18485+2489+1243+23934+2388+706+7683)*AH3)</f>
        <v>147109.47066841295</v>
      </c>
      <c r="O8" s="190">
        <f>'Contribution 2016'!J12/1000000</f>
        <v>136409.300181</v>
      </c>
      <c r="P8" s="186">
        <f>'Contribution 2017'!J12</f>
        <v>282740</v>
      </c>
      <c r="AD8" s="174"/>
    </row>
    <row r="9" spans="1:34" x14ac:dyDescent="0.25">
      <c r="A9" s="149" t="s">
        <v>98</v>
      </c>
      <c r="B9" s="150"/>
      <c r="C9" s="150"/>
      <c r="D9" s="150"/>
      <c r="E9" s="147">
        <v>13.469720000000001</v>
      </c>
      <c r="F9" s="154">
        <v>0</v>
      </c>
      <c r="G9" s="154">
        <f>'Contribution 2016'!R13</f>
        <v>0</v>
      </c>
      <c r="H9" s="148">
        <f>'Contribution 2017'!R13</f>
        <v>0</v>
      </c>
      <c r="I9" s="170">
        <v>16150.368039646801</v>
      </c>
      <c r="J9" s="161">
        <f>(625+2932+530+13524)-((625+2932+530+13524)*AH5)</f>
        <v>16929.95344429402</v>
      </c>
      <c r="K9" s="161">
        <f>'Contribution 2016'!P13/1000000</f>
        <v>25126.08908518</v>
      </c>
      <c r="L9" s="171">
        <f>'Contribution 2017'!P13</f>
        <v>20466</v>
      </c>
      <c r="M9" s="147">
        <v>39292.297909755762</v>
      </c>
      <c r="N9" s="154">
        <f>(19902+9070+205+1102+3+11+4864)-((19902+9070+205+1102+3+11+4864)*AH5)</f>
        <v>33797.420546308829</v>
      </c>
      <c r="O9" s="154">
        <f>+'Contribution 2016'!J13/1000000</f>
        <v>33622.320796</v>
      </c>
      <c r="P9" s="148">
        <f>'Contribution 2017'!J13</f>
        <v>98652</v>
      </c>
    </row>
    <row r="10" spans="1:34" x14ac:dyDescent="0.25">
      <c r="A10" s="198" t="s">
        <v>99</v>
      </c>
      <c r="B10" s="199"/>
      <c r="C10" s="199"/>
      <c r="D10" s="199"/>
      <c r="E10" s="184">
        <v>0</v>
      </c>
      <c r="F10" s="190">
        <v>0</v>
      </c>
      <c r="G10" s="190">
        <f>'Contribution 2016'!R14</f>
        <v>0</v>
      </c>
      <c r="H10" s="186">
        <f>'Contribution 2017'!R14</f>
        <v>0</v>
      </c>
      <c r="I10" s="187">
        <v>8545.3612174708323</v>
      </c>
      <c r="J10" s="188">
        <f>(777+799+1055+7705)-((777+799+1055+7705)*AH7)</f>
        <v>10035.747317942885</v>
      </c>
      <c r="K10" s="188">
        <f>'Contribution 2016'!P14/1000000</f>
        <v>9719.7608673400009</v>
      </c>
      <c r="L10" s="189">
        <f>'Contribution 2017'!P14</f>
        <v>9006</v>
      </c>
      <c r="M10" s="184">
        <v>8325.8962981049335</v>
      </c>
      <c r="N10" s="190">
        <f>(2842+4545+9+1658)-((2842+4545+9+1658)*AH7)</f>
        <v>8790.9884110540715</v>
      </c>
      <c r="O10" s="190">
        <f>+'Contribution 2016'!J14/1000000</f>
        <v>2986.6146490000001</v>
      </c>
      <c r="P10" s="186">
        <f>'Contribution 2017'!J14</f>
        <v>6320</v>
      </c>
    </row>
    <row r="11" spans="1:34" x14ac:dyDescent="0.25">
      <c r="A11" s="149" t="s">
        <v>100</v>
      </c>
      <c r="B11" s="150"/>
      <c r="C11" s="150"/>
      <c r="D11" s="150"/>
      <c r="E11" s="147">
        <v>548.57251380276591</v>
      </c>
      <c r="F11" s="154">
        <v>516</v>
      </c>
      <c r="G11" s="154">
        <f>'Contribution 2016'!R15/1000000</f>
        <v>3374.717549</v>
      </c>
      <c r="H11" s="148">
        <f>'Contribution 2017'!R15</f>
        <v>309</v>
      </c>
      <c r="I11" s="170">
        <v>12238.642908831114</v>
      </c>
      <c r="J11" s="161">
        <v>11029</v>
      </c>
      <c r="K11" s="161">
        <f>'Contribution 2016'!P15/1000000</f>
        <v>15036.022534363132</v>
      </c>
      <c r="L11" s="171">
        <f>'Contribution 2017'!P15</f>
        <v>14668</v>
      </c>
      <c r="M11" s="147">
        <v>16054.610909080729</v>
      </c>
      <c r="N11" s="154">
        <v>17023</v>
      </c>
      <c r="O11" s="154">
        <f>+'Contribution 2016'!J15/1000000</f>
        <v>9580.37673498</v>
      </c>
      <c r="P11" s="148">
        <f>'Contribution 2017'!J15</f>
        <v>13583</v>
      </c>
    </row>
    <row r="12" spans="1:34" x14ac:dyDescent="0.25">
      <c r="A12" s="198" t="s">
        <v>58</v>
      </c>
      <c r="B12" s="199"/>
      <c r="C12" s="199"/>
      <c r="D12" s="199"/>
      <c r="E12" s="184">
        <v>12275.632431</v>
      </c>
      <c r="F12" s="190">
        <v>11479</v>
      </c>
      <c r="G12" s="190">
        <f>'Contribution 2016'!R16/1000000</f>
        <v>3140.3265000000001</v>
      </c>
      <c r="H12" s="186">
        <f>'Contribution 2017'!R16</f>
        <v>1133</v>
      </c>
      <c r="I12" s="187">
        <v>13169.788008758514</v>
      </c>
      <c r="J12" s="188">
        <v>20884</v>
      </c>
      <c r="K12" s="188">
        <f>+'Contribution 2016'!P16/1000000</f>
        <v>16312.090894050001</v>
      </c>
      <c r="L12" s="189">
        <f>'Contribution 2017'!P16</f>
        <v>27248</v>
      </c>
      <c r="M12" s="184">
        <v>7760.1123415778384</v>
      </c>
      <c r="N12" s="190">
        <v>8021</v>
      </c>
      <c r="O12" s="190">
        <f>+'Contribution 2016'!J16/1000000</f>
        <v>9969.0070180000002</v>
      </c>
      <c r="P12" s="186">
        <f>'Contribution 2017'!J16</f>
        <v>7817</v>
      </c>
    </row>
    <row r="13" spans="1:34" x14ac:dyDescent="0.25">
      <c r="A13" s="149" t="s">
        <v>102</v>
      </c>
      <c r="B13" s="150"/>
      <c r="C13" s="150"/>
      <c r="D13" s="150"/>
      <c r="E13" s="147">
        <v>35966.283366478303</v>
      </c>
      <c r="F13" s="154">
        <v>35966.283366478303</v>
      </c>
      <c r="G13" s="154">
        <f>'Contribution 2016'!R18/1000000</f>
        <v>29973.052972000001</v>
      </c>
      <c r="H13" s="148">
        <f>'Contribution 2017'!R18</f>
        <v>18145</v>
      </c>
      <c r="I13" s="170">
        <v>37684.935948344282</v>
      </c>
      <c r="J13" s="161">
        <v>55430</v>
      </c>
      <c r="K13" s="161">
        <f>'Contribution 2016'!P18/1000000</f>
        <v>29680.612259613874</v>
      </c>
      <c r="L13" s="171">
        <f>'Contribution 2017'!P18</f>
        <v>41613</v>
      </c>
      <c r="M13" s="147">
        <v>45277.364610385732</v>
      </c>
      <c r="N13" s="154">
        <v>39874</v>
      </c>
      <c r="O13" s="154">
        <f>+'Contribution 2016'!J18/1000000</f>
        <v>45588.451447239997</v>
      </c>
      <c r="P13" s="148">
        <f>'Contribution 2017'!J18</f>
        <v>17246</v>
      </c>
    </row>
    <row r="14" spans="1:34" x14ac:dyDescent="0.25">
      <c r="A14" s="198" t="s">
        <v>35</v>
      </c>
      <c r="B14" s="199"/>
      <c r="C14" s="199"/>
      <c r="D14" s="199"/>
      <c r="E14" s="184">
        <v>1.6793410000000222</v>
      </c>
      <c r="F14" s="190">
        <v>3</v>
      </c>
      <c r="G14" s="190">
        <f>'Contribution 2016'!R19/1000000</f>
        <v>0</v>
      </c>
      <c r="H14" s="186">
        <f>'Contribution 2017'!R19</f>
        <v>11844</v>
      </c>
      <c r="I14" s="187">
        <v>15708.529011617698</v>
      </c>
      <c r="J14" s="188">
        <v>17736</v>
      </c>
      <c r="K14" s="188">
        <f>'Contribution 2016'!P19/1000000</f>
        <v>16552.7306559922</v>
      </c>
      <c r="L14" s="189">
        <f>'Contribution 2017'!P19</f>
        <v>18801</v>
      </c>
      <c r="M14" s="184">
        <v>29348.516592836102</v>
      </c>
      <c r="N14" s="190">
        <v>42839</v>
      </c>
      <c r="O14" s="190">
        <f>+'Contribution 2016'!J19/1000000</f>
        <v>33845.231599999999</v>
      </c>
      <c r="P14" s="186">
        <f>'Contribution 2017'!J19</f>
        <v>7402</v>
      </c>
    </row>
    <row r="15" spans="1:34" ht="15.75" thickBot="1" x14ac:dyDescent="0.3">
      <c r="A15" s="155" t="s">
        <v>103</v>
      </c>
      <c r="B15" s="156"/>
      <c r="C15" s="156"/>
      <c r="D15" s="156"/>
      <c r="E15" s="157">
        <v>23692.330276478307</v>
      </c>
      <c r="F15" s="158">
        <f>F13+F14-F12</f>
        <v>24490.283366478303</v>
      </c>
      <c r="G15" s="158">
        <f>G13+G14-G12</f>
        <v>26832.726472000002</v>
      </c>
      <c r="H15" s="159">
        <f>'Contribution 2017'!R20</f>
        <v>28856</v>
      </c>
      <c r="I15" s="175">
        <v>40223.676951203466</v>
      </c>
      <c r="J15" s="166">
        <f>J13+J14-J12</f>
        <v>52282</v>
      </c>
      <c r="K15" s="166">
        <f>'Contribution 2016'!P20/1000000</f>
        <v>29921.252021556069</v>
      </c>
      <c r="L15" s="176">
        <f>'Contribution 2017'!P20</f>
        <v>33166</v>
      </c>
      <c r="M15" s="157">
        <v>66865.768861643985</v>
      </c>
      <c r="N15" s="158">
        <f>N13+N14-N12</f>
        <v>74692</v>
      </c>
      <c r="O15" s="158">
        <f>'Contribution 2016'!J20/1000000</f>
        <v>69464.676029239985</v>
      </c>
      <c r="P15" s="159">
        <f>'Contribution 2017'!J20</f>
        <v>16831</v>
      </c>
    </row>
    <row r="16" spans="1:34" ht="15.75" thickBot="1" x14ac:dyDescent="0.3"/>
    <row r="17" spans="1:28" ht="15.75" thickBot="1" x14ac:dyDescent="0.3">
      <c r="A17" s="377" t="s">
        <v>92</v>
      </c>
      <c r="B17" s="378"/>
      <c r="C17" s="378"/>
      <c r="D17" s="379"/>
      <c r="E17" s="374" t="s">
        <v>33</v>
      </c>
      <c r="F17" s="375"/>
      <c r="G17" s="375"/>
      <c r="H17" s="376"/>
      <c r="I17" s="374" t="s">
        <v>96</v>
      </c>
      <c r="J17" s="375"/>
      <c r="K17" s="375"/>
      <c r="L17" s="376"/>
      <c r="M17" s="374" t="s">
        <v>97</v>
      </c>
      <c r="N17" s="375"/>
      <c r="O17" s="375"/>
      <c r="P17" s="376"/>
    </row>
    <row r="18" spans="1:28" ht="15.75" thickBot="1" x14ac:dyDescent="0.3">
      <c r="A18" s="380"/>
      <c r="B18" s="381"/>
      <c r="C18" s="381"/>
      <c r="D18" s="382"/>
      <c r="E18" s="205">
        <v>2014</v>
      </c>
      <c r="F18" s="206">
        <v>2015</v>
      </c>
      <c r="G18" s="206">
        <v>2016</v>
      </c>
      <c r="H18" s="207">
        <v>2017</v>
      </c>
      <c r="I18" s="205">
        <v>2014</v>
      </c>
      <c r="J18" s="206">
        <v>2015</v>
      </c>
      <c r="K18" s="206">
        <v>2016</v>
      </c>
      <c r="L18" s="207">
        <v>2017</v>
      </c>
      <c r="M18" s="210">
        <v>2014</v>
      </c>
      <c r="N18" s="211">
        <v>2015</v>
      </c>
      <c r="O18" s="211">
        <v>2016</v>
      </c>
      <c r="P18" s="212">
        <v>2017</v>
      </c>
    </row>
    <row r="19" spans="1:28" x14ac:dyDescent="0.25">
      <c r="A19" s="182" t="s">
        <v>173</v>
      </c>
      <c r="B19" s="183"/>
      <c r="C19" s="183"/>
      <c r="D19" s="183"/>
      <c r="E19" s="200">
        <v>8636.7096010000005</v>
      </c>
      <c r="F19" s="188">
        <v>8232.1347879999994</v>
      </c>
      <c r="G19" s="188">
        <f>'Contribution 2016'!Q9/1000000</f>
        <v>6202.9122820000002</v>
      </c>
      <c r="H19" s="201">
        <f>'Contribution 2017'!Q9</f>
        <v>3954</v>
      </c>
      <c r="I19" s="184">
        <v>-291.75195500000001</v>
      </c>
      <c r="J19" s="190">
        <v>-193</v>
      </c>
      <c r="K19" s="190">
        <f>+'Contribution 2016'!W9/1000000</f>
        <v>-738.30385999999999</v>
      </c>
      <c r="L19" s="186">
        <f>'Contribution 2017'!W9</f>
        <v>1032</v>
      </c>
      <c r="M19" s="200">
        <v>27188.316359223998</v>
      </c>
      <c r="N19" s="188">
        <v>18021</v>
      </c>
      <c r="O19" s="188">
        <f>'Contribution 2016'!Y9/1000000</f>
        <v>24784.047968501098</v>
      </c>
      <c r="P19" s="201">
        <f t="shared" ref="P19:P30" si="0">L19+H19+P4+L4+H4</f>
        <v>55276</v>
      </c>
    </row>
    <row r="20" spans="1:28" x14ac:dyDescent="0.25">
      <c r="A20" s="149" t="s">
        <v>174</v>
      </c>
      <c r="B20" s="150"/>
      <c r="C20" s="150"/>
      <c r="D20" s="150"/>
      <c r="E20" s="163">
        <v>0.31766253882322071</v>
      </c>
      <c r="F20" s="164">
        <f>F19/N19</f>
        <v>0.45680787903002051</v>
      </c>
      <c r="G20" s="164">
        <f>'Contribution 2016'!Q10</f>
        <v>0.25027841658003147</v>
      </c>
      <c r="H20" s="177">
        <f>H19/P19</f>
        <v>7.1531948766191469E-2</v>
      </c>
      <c r="I20" s="151">
        <v>-1.0730784177484359E-2</v>
      </c>
      <c r="J20" s="152">
        <f>J19/N19</f>
        <v>-1.0709727540092116E-2</v>
      </c>
      <c r="K20" s="152">
        <f>+'Contribution 2016'!W10</f>
        <v>-2.9789478334545504E-2</v>
      </c>
      <c r="L20" s="153">
        <f>L19/P19</f>
        <v>1.8669947174180475E-2</v>
      </c>
      <c r="M20" s="163">
        <v>1</v>
      </c>
      <c r="N20" s="164">
        <f>F5+J5+N5+F20+J20</f>
        <v>0.99534625092947115</v>
      </c>
      <c r="O20" s="164">
        <f>'Contribution 2016'!Y8</f>
        <v>1</v>
      </c>
      <c r="P20" s="178">
        <f t="shared" si="0"/>
        <v>1</v>
      </c>
    </row>
    <row r="21" spans="1:28" s="181" customFormat="1" x14ac:dyDescent="0.25">
      <c r="A21" s="204" t="s">
        <v>34</v>
      </c>
      <c r="B21" s="191"/>
      <c r="C21" s="191"/>
      <c r="D21" s="191"/>
      <c r="E21" s="202">
        <v>6859.8055262500002</v>
      </c>
      <c r="F21" s="196">
        <v>5040</v>
      </c>
      <c r="G21" s="196">
        <f>'Contribution 2016'!Q7/1000000</f>
        <v>4268.9135640000004</v>
      </c>
      <c r="H21" s="203">
        <f>'Contribution 2017'!Q7</f>
        <v>4690</v>
      </c>
      <c r="I21" s="192">
        <v>-126.565312139963</v>
      </c>
      <c r="J21" s="193">
        <f>-304+28+124+54</f>
        <v>-98</v>
      </c>
      <c r="K21" s="193">
        <f>+'Contribution 2016'!W7/1000000</f>
        <v>-972.14757599999996</v>
      </c>
      <c r="L21" s="194">
        <f>'Contribution 2017'!W7</f>
        <v>-2833</v>
      </c>
      <c r="M21" s="202">
        <v>5979.6703544949796</v>
      </c>
      <c r="N21" s="196">
        <v>717</v>
      </c>
      <c r="O21" s="196">
        <f>'Contribution 2016'!Y7/1000000</f>
        <v>9617.3136733414703</v>
      </c>
      <c r="P21" s="203">
        <f t="shared" si="0"/>
        <v>29677</v>
      </c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</row>
    <row r="22" spans="1:28" x14ac:dyDescent="0.25">
      <c r="A22" s="149" t="s">
        <v>175</v>
      </c>
      <c r="B22" s="150"/>
      <c r="C22" s="150"/>
      <c r="D22" s="150"/>
      <c r="E22" s="163">
        <v>1.1471879082922045</v>
      </c>
      <c r="F22" s="164">
        <f>F21/N21</f>
        <v>7.02928870292887</v>
      </c>
      <c r="G22" s="164">
        <f>'Contribution 2016'!Q8</f>
        <v>0.44387795895990517</v>
      </c>
      <c r="H22" s="177">
        <f>H21/P21</f>
        <v>0.15803484179667757</v>
      </c>
      <c r="I22" s="151">
        <v>-2.1165934681469951E-2</v>
      </c>
      <c r="J22" s="152">
        <f>J21/N21</f>
        <v>-0.13668061366806136</v>
      </c>
      <c r="K22" s="152">
        <f>+'Contribution 2016'!W8</f>
        <v>-0.10108306841386758</v>
      </c>
      <c r="L22" s="153">
        <f>L21/P21</f>
        <v>-9.5461131515988812E-2</v>
      </c>
      <c r="M22" s="163">
        <v>1</v>
      </c>
      <c r="N22" s="164">
        <f t="shared" ref="N22:N27" si="1">F7+J7+N7+F22+J22</f>
        <v>0.99999999999999911</v>
      </c>
      <c r="O22" s="164">
        <f>'Contribution 2016'!Y10</f>
        <v>1</v>
      </c>
      <c r="P22" s="178">
        <f t="shared" si="0"/>
        <v>1</v>
      </c>
    </row>
    <row r="23" spans="1:28" x14ac:dyDescent="0.25">
      <c r="A23" s="198" t="s">
        <v>107</v>
      </c>
      <c r="B23" s="199"/>
      <c r="C23" s="199"/>
      <c r="D23" s="199"/>
      <c r="E23" s="200">
        <v>41367.434126</v>
      </c>
      <c r="F23" s="188">
        <v>62907</v>
      </c>
      <c r="G23" s="188">
        <f>'Contribution 2016'!Q12/1000000</f>
        <v>44440.597938999999</v>
      </c>
      <c r="H23" s="201">
        <f>'Contribution 2017'!Q12</f>
        <v>142116</v>
      </c>
      <c r="I23" s="184">
        <v>0.767563</v>
      </c>
      <c r="J23" s="190">
        <f>437-(437*AH3)</f>
        <v>226.94144799963451</v>
      </c>
      <c r="K23" s="190">
        <f>+'Contribution 2016'!W12/1000000</f>
        <v>1113.0502919999999</v>
      </c>
      <c r="L23" s="186">
        <f>'Contribution 2017'!W12</f>
        <v>16653</v>
      </c>
      <c r="M23" s="200">
        <v>317370.78633589501</v>
      </c>
      <c r="N23" s="188">
        <f t="shared" si="1"/>
        <v>340999.03247490973</v>
      </c>
      <c r="O23" s="188">
        <f>'Contribution 2016'!Y12/1000000</f>
        <v>332376.23579184996</v>
      </c>
      <c r="P23" s="201">
        <f t="shared" si="0"/>
        <v>697672</v>
      </c>
    </row>
    <row r="24" spans="1:28" x14ac:dyDescent="0.25">
      <c r="A24" s="149" t="s">
        <v>98</v>
      </c>
      <c r="B24" s="150"/>
      <c r="C24" s="150"/>
      <c r="D24" s="150"/>
      <c r="E24" s="160">
        <v>9971.5253209999992</v>
      </c>
      <c r="F24" s="161">
        <f>10016-(10016*AH5)</f>
        <v>9628.6646810543916</v>
      </c>
      <c r="G24" s="161">
        <f>'Contribution 2016'!Q13/1000000</f>
        <v>11689.997944000001</v>
      </c>
      <c r="H24" s="162">
        <f>'Contribution 2017'!Q13</f>
        <v>12506</v>
      </c>
      <c r="I24" s="147">
        <v>0</v>
      </c>
      <c r="J24" s="154">
        <v>0</v>
      </c>
      <c r="K24" s="154">
        <f>+'Contribution 2016'!W13/10000000</f>
        <v>0</v>
      </c>
      <c r="L24" s="148">
        <f>'Contribution 2017'!W13</f>
        <v>811</v>
      </c>
      <c r="M24" s="160">
        <v>65427.660990402495</v>
      </c>
      <c r="N24" s="161">
        <f t="shared" si="1"/>
        <v>60356.038671657239</v>
      </c>
      <c r="O24" s="161">
        <f>'Contribution 2016'!Y13/1000000</f>
        <v>70438.407825179995</v>
      </c>
      <c r="P24" s="162">
        <f t="shared" si="0"/>
        <v>132435</v>
      </c>
    </row>
    <row r="25" spans="1:28" x14ac:dyDescent="0.25">
      <c r="A25" s="198" t="s">
        <v>99</v>
      </c>
      <c r="B25" s="199"/>
      <c r="C25" s="199"/>
      <c r="D25" s="199"/>
      <c r="E25" s="200">
        <v>12787.404333</v>
      </c>
      <c r="F25" s="188">
        <f>13140-(13140*AH7)</f>
        <v>12758.293320217639</v>
      </c>
      <c r="G25" s="188">
        <f>'Contribution 2016'!Q14/1000000</f>
        <v>14620.498998999999</v>
      </c>
      <c r="H25" s="201">
        <f>'Contribution 2017'!Q14</f>
        <v>22309</v>
      </c>
      <c r="I25" s="184">
        <v>0</v>
      </c>
      <c r="J25" s="190">
        <v>0</v>
      </c>
      <c r="K25" s="190">
        <f>+'Contribution 2016'!W14/10000000</f>
        <v>203.3517425</v>
      </c>
      <c r="L25" s="186">
        <f>'Contribution 2017'!W14</f>
        <v>91</v>
      </c>
      <c r="M25" s="200">
        <v>29658.661848575801</v>
      </c>
      <c r="N25" s="188">
        <f t="shared" si="1"/>
        <v>31585.029049214598</v>
      </c>
      <c r="O25" s="188">
        <f>'Contribution 2016'!Y14/1000000</f>
        <v>29360.391939948015</v>
      </c>
      <c r="P25" s="201">
        <f t="shared" si="0"/>
        <v>37726</v>
      </c>
      <c r="R25" s="179"/>
    </row>
    <row r="26" spans="1:28" x14ac:dyDescent="0.25">
      <c r="A26" s="149" t="s">
        <v>100</v>
      </c>
      <c r="B26" s="150"/>
      <c r="C26" s="150"/>
      <c r="D26" s="150"/>
      <c r="E26" s="160">
        <v>2499.914076</v>
      </c>
      <c r="F26" s="161">
        <v>1779</v>
      </c>
      <c r="G26" s="161">
        <f>'Contribution 2016'!Q15/1000000</f>
        <v>444.45104094999999</v>
      </c>
      <c r="H26" s="162">
        <f>'Contribution 2017'!Q15</f>
        <v>1141</v>
      </c>
      <c r="I26" s="147">
        <v>0</v>
      </c>
      <c r="J26" s="154">
        <v>0</v>
      </c>
      <c r="K26" s="154">
        <f>+'Contribution 2016'!W15/10000000</f>
        <v>117.727372</v>
      </c>
      <c r="L26" s="148">
        <f>'Contribution 2017'!W15</f>
        <v>2193</v>
      </c>
      <c r="M26" s="160">
        <v>31341.740407714598</v>
      </c>
      <c r="N26" s="161">
        <f t="shared" si="1"/>
        <v>30347</v>
      </c>
      <c r="O26" s="161">
        <f>'Contribution 2016'!Y15/1000000</f>
        <v>29612.841579175802</v>
      </c>
      <c r="P26" s="162">
        <f t="shared" si="0"/>
        <v>31894</v>
      </c>
    </row>
    <row r="27" spans="1:28" x14ac:dyDescent="0.25">
      <c r="A27" s="198" t="s">
        <v>58</v>
      </c>
      <c r="B27" s="199"/>
      <c r="C27" s="199"/>
      <c r="D27" s="199"/>
      <c r="E27" s="200">
        <v>6761.4186419999996</v>
      </c>
      <c r="F27" s="188">
        <v>3615</v>
      </c>
      <c r="G27" s="188">
        <f>'Contribution 2016'!Q16/1000000</f>
        <v>4416.3323220000002</v>
      </c>
      <c r="H27" s="201">
        <f>'Contribution 2017'!Q16</f>
        <v>2211</v>
      </c>
      <c r="I27" s="184">
        <v>6.5294499999999998</v>
      </c>
      <c r="J27" s="190">
        <v>5</v>
      </c>
      <c r="K27" s="190">
        <f>+'Contribution 2016'!W16/1000000</f>
        <v>325.09108300000003</v>
      </c>
      <c r="L27" s="186">
        <f>'Contribution 2017'!W16</f>
        <v>1650</v>
      </c>
      <c r="M27" s="200">
        <v>39973.480873336397</v>
      </c>
      <c r="N27" s="188">
        <f t="shared" si="1"/>
        <v>44004</v>
      </c>
      <c r="O27" s="188">
        <f>'Contribution 2016'!Y16/1000000</f>
        <v>34162.847817282898</v>
      </c>
      <c r="P27" s="201">
        <f t="shared" si="0"/>
        <v>40059</v>
      </c>
    </row>
    <row r="28" spans="1:28" x14ac:dyDescent="0.25">
      <c r="A28" s="149" t="s">
        <v>102</v>
      </c>
      <c r="B28" s="150"/>
      <c r="C28" s="150"/>
      <c r="D28" s="150"/>
      <c r="E28" s="160">
        <v>18522.020792000003</v>
      </c>
      <c r="F28" s="161">
        <v>15066</v>
      </c>
      <c r="G28" s="161">
        <f>'Contribution 2016'!Q18/1000000</f>
        <v>6700.5846543349999</v>
      </c>
      <c r="H28" s="162">
        <f>'Contribution 2017'!Q18</f>
        <v>13890</v>
      </c>
      <c r="I28" s="147">
        <v>0</v>
      </c>
      <c r="J28" s="154">
        <v>0</v>
      </c>
      <c r="K28" s="154">
        <f>+'Contribution 2016'!W18/1000000</f>
        <v>4700.00299</v>
      </c>
      <c r="L28" s="148">
        <f>'Contribution 2017'!W18</f>
        <v>6585</v>
      </c>
      <c r="M28" s="160">
        <v>137450.60471720831</v>
      </c>
      <c r="N28" s="161">
        <v>146336</v>
      </c>
      <c r="O28" s="161">
        <f>'Contribution 2016'!Y18/1000000</f>
        <v>116642.70432298801</v>
      </c>
      <c r="P28" s="162">
        <f t="shared" si="0"/>
        <v>97479</v>
      </c>
    </row>
    <row r="29" spans="1:28" x14ac:dyDescent="0.25">
      <c r="A29" s="198" t="s">
        <v>35</v>
      </c>
      <c r="B29" s="199"/>
      <c r="C29" s="199"/>
      <c r="D29" s="199"/>
      <c r="E29" s="200">
        <v>0</v>
      </c>
      <c r="F29" s="188">
        <v>858</v>
      </c>
      <c r="G29" s="188">
        <f>'Contribution 2016'!Q19/1000000</f>
        <v>6548.9965759999995</v>
      </c>
      <c r="H29" s="201">
        <f>'Contribution 2017'!Q19</f>
        <v>12178</v>
      </c>
      <c r="I29" s="184">
        <v>10</v>
      </c>
      <c r="J29" s="190">
        <v>0</v>
      </c>
      <c r="K29" s="190">
        <f>+'Contribution 2016'!W19/1000000</f>
        <v>3247.0106609999998</v>
      </c>
      <c r="L29" s="186">
        <f>'Contribution 2017'!W19</f>
        <v>7408</v>
      </c>
      <c r="M29" s="200">
        <v>45068.724945453796</v>
      </c>
      <c r="N29" s="188">
        <f>F14+J14+N14+F29+J29</f>
        <v>61436</v>
      </c>
      <c r="O29" s="188">
        <f>'Contribution 2016'!Y19/1000000</f>
        <v>60193.969492663397</v>
      </c>
      <c r="P29" s="201">
        <f t="shared" si="0"/>
        <v>57633</v>
      </c>
    </row>
    <row r="30" spans="1:28" ht="15.75" thickBot="1" x14ac:dyDescent="0.3">
      <c r="A30" s="155" t="s">
        <v>103</v>
      </c>
      <c r="B30" s="156"/>
      <c r="C30" s="156"/>
      <c r="D30" s="156"/>
      <c r="E30" s="165">
        <v>11760.602150000002</v>
      </c>
      <c r="F30" s="166">
        <f>F28+F29-F27</f>
        <v>12309</v>
      </c>
      <c r="G30" s="166">
        <f>G28+G29-G27</f>
        <v>8833.2489083349992</v>
      </c>
      <c r="H30" s="167">
        <f>'Contribution 2017'!Q20</f>
        <v>23857</v>
      </c>
      <c r="I30" s="157">
        <v>3.4705500000000002</v>
      </c>
      <c r="J30" s="158">
        <f>J28+J29-J27</f>
        <v>-5</v>
      </c>
      <c r="K30" s="158">
        <f>+'Contribution 2016'!W20/1000000</f>
        <v>7621.922568</v>
      </c>
      <c r="L30" s="159">
        <f>'Contribution 2017'!W20</f>
        <v>12343</v>
      </c>
      <c r="M30" s="165">
        <v>142545.84878932571</v>
      </c>
      <c r="N30" s="166">
        <f>F15+J15+N15+F30+J30</f>
        <v>163768.28336647831</v>
      </c>
      <c r="O30" s="166">
        <f>'Contribution 2016'!Y20/1000000</f>
        <v>142673.8259983685</v>
      </c>
      <c r="P30" s="167">
        <f t="shared" si="0"/>
        <v>115053</v>
      </c>
    </row>
  </sheetData>
  <mergeCells count="8">
    <mergeCell ref="M17:P17"/>
    <mergeCell ref="E2:H2"/>
    <mergeCell ref="A2:D3"/>
    <mergeCell ref="I2:L2"/>
    <mergeCell ref="E17:H17"/>
    <mergeCell ref="I17:L17"/>
    <mergeCell ref="M2:P2"/>
    <mergeCell ref="A17:D18"/>
  </mergeCells>
  <pageMargins left="0.7" right="0.7" top="0.75" bottom="0.75" header="0.51180555555555496" footer="0.51180555555555496"/>
  <pageSetup paperSize="9" scale="56" firstPageNumber="0" fitToWidth="0" fitToHeight="0" orientation="portrait" r:id="rId1"/>
  <ignoredErrors>
    <ignoredError sqref="J6 N6 O5:P7 K5:L7 G5:H7 G20:P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Feuil1</vt:lpstr>
      <vt:lpstr>BP</vt:lpstr>
      <vt:lpstr>Synthèse données &amp; ratios</vt:lpstr>
      <vt:lpstr>Contribution 2016</vt:lpstr>
      <vt:lpstr>Contribution 2017</vt:lpstr>
      <vt:lpstr>Pays Secteur 2017</vt:lpstr>
      <vt:lpstr>Contrib filiales 2014-2017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FP-Consulting</dc:creator>
  <cp:lastModifiedBy>Anouar Hassoune</cp:lastModifiedBy>
  <cp:revision>0</cp:revision>
  <cp:lastPrinted>2020-08-04T20:35:42Z</cp:lastPrinted>
  <dcterms:created xsi:type="dcterms:W3CDTF">2013-02-17T08:35:08Z</dcterms:created>
  <dcterms:modified xsi:type="dcterms:W3CDTF">2021-09-20T10:54:26Z</dcterms:modified>
  <dc:language>fr-FR</dc:language>
</cp:coreProperties>
</file>